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Y+7Xrf9l/9ZeV733l9RzWNgKEZYnS7M0SfvVIugBAHJzme5GCjE1zAfewqjhHHGWbkrVw+eSlizRZ3wj5OGDgw==" workbookSaltValue="EqbJ5y7L9+mPVCMsyFxj6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V9" i="11"/>
  <c r="BJ11" i="11"/>
  <c r="R10" i="21"/>
  <c r="R13" i="21" s="1"/>
  <c r="R19" i="21" s="1"/>
  <c r="BI17" i="11"/>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L10" i="2"/>
  <c r="AU18" i="21"/>
  <c r="S15" i="17"/>
  <c r="AH13" i="16"/>
  <c r="S16" i="17"/>
  <c r="L15" i="2"/>
  <c r="L12" i="2"/>
  <c r="L16" i="2"/>
  <c r="L17" i="2"/>
  <c r="X10" i="21"/>
  <c r="X15" i="16"/>
  <c r="X18" i="16" s="1"/>
  <c r="U9" i="17"/>
  <c r="U19" i="17" s="1"/>
  <c r="V10" i="16"/>
  <c r="L9" i="2"/>
  <c r="R18" i="20"/>
  <c r="AP13" i="16"/>
  <c r="V9" i="16"/>
  <c r="T18" i="17"/>
  <c r="BG15" i="13"/>
  <c r="BE16" i="13"/>
  <c r="BE15" i="13"/>
  <c r="AX20" i="20"/>
  <c r="S19" i="8" l="1"/>
  <c r="BG10" i="8"/>
  <c r="BF9" i="8"/>
  <c r="B9" i="6"/>
  <c r="AZ19" i="11"/>
  <c r="AL16" i="11"/>
  <c r="C16" i="6"/>
  <c r="BE9" i="13"/>
  <c r="AP15" i="20"/>
  <c r="BJ12" i="11"/>
  <c r="BJ15" i="11"/>
  <c r="BI15" i="11"/>
  <c r="BH9" i="11"/>
  <c r="AP10" i="21"/>
  <c r="BK11" i="11"/>
  <c r="X11" i="17"/>
  <c r="BK9" i="11"/>
  <c r="BK12" i="11"/>
  <c r="P17" i="17"/>
  <c r="BG10" i="11"/>
  <c r="BL9" i="11"/>
  <c r="BF11"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L13" i="11" l="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<sst xmlns="http://schemas.openxmlformats.org/spreadsheetml/2006/main" count="2088" uniqueCount="917">
  <si>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</si>
  <si>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</si>
  <si>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</si>
  <si>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</si>
  <si>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</si>
  <si>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</si>
  <si>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</si>
  <si>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</si>
  <si>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</si>
  <si>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</si>
  <si>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</si>
  <si>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</si>
  <si>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</si>
  <si>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</si>
  <si>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</si>
  <si>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</si>
  <si>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</si>
  <si>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</si>
  <si>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</si>
  <si>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</si>
  <si>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</si>
  <si>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</si>
  <si>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</si>
  <si>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</si>
  <si>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</si>
  <si>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</si>
  <si>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</si>
  <si>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</si>
  <si>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</si>
  <si>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</si>
  <si>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</si>
  <si>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</si>
  <si>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</si>
  <si>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</si>
  <si>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</si>
  <si>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</si>
  <si>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</si>
  <si>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</si>
  <si>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</si>
  <si>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</si>
  <si>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</si>
  <si>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</si>
  <si>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</si>
  <si>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</si>
  <si>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</si>
  <si>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</si>
  <si>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</si>
  <si>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</si>
  <si>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</si>
  <si>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</si>
  <si>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</si>
  <si>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</si>
  <si>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</si>
  <si>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</si>
  <si>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</si>
  <si>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</si>
  <si>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</si>
  <si>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</si>
  <si>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</si>
  <si>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</si>
  <si>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</si>
  <si>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</si>
  <si>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</si>
  <si>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</si>
  <si>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</si>
  <si>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</si>
  <si>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</si>
  <si>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</si>
  <si>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</si>
  <si>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</si>
  <si>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</si>
  <si>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</si>
  <si>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</si>
  <si>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</si>
  <si>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</si>
  <si>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</si>
  <si>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</si>
  <si>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</si>
  <si>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</si>
  <si>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</si>
  <si>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</si>
  <si>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</si>
  <si>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</si>
  <si>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</si>
  <si>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</si>
  <si>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</si>
  <si>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</si>
  <si>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</si>
  <si>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</si>
  <si>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</si>
  <si>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</si>
  <si>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</si>
  <si>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</si>
  <si>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</si>
  <si>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</si>
  <si>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</si>
  <si>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</si>
  <si>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</si>
  <si>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</si>
  <si>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</si>
  <si>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</si>
  <si>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</si>
  <si>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</si>
  <si>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</si>
  <si>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</si>
  <si>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</si>
  <si>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</si>
  <si>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</si>
  <si>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</si>
  <si>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</si>
  <si>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</si>
  <si>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</si>
  <si>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</si>
  <si>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</si>
  <si>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</si>
  <si>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</si>
  <si>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</si>
  <si>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</si>
  <si>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</si>
  <si>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</si>
  <si>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</si>
  <si>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</si>
  <si>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</si>
  <si>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</si>
  <si>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</si>
  <si>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</si>
  <si>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</si>
  <si>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</si>
  <si>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</si>
  <si>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</si>
  <si>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</si>
  <si>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</si>
  <si>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</si>
  <si>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</si>
  <si>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</si>
  <si>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</si>
  <si>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</si>
  <si>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</si>
  <si>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</si>
  <si>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</si>
  <si>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</si>
  <si>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</si>
  <si>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</si>
  <si>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</si>
  <si>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</si>
  <si>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</si>
  <si>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</si>
  <si>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</si>
  <si>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</si>
  <si>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</si>
  <si>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</si>
  <si>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</si>
  <si>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</si>
  <si>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</si>
  <si>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</si>
  <si>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</si>
  <si>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</si>
  <si>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</si>
  <si>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</si>
  <si>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</si>
  <si>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</si>
  <si>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</si>
  <si>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</si>
  <si>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</si>
  <si>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</si>
  <si>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</si>
  <si>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</si>
  <si>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</si>
  <si>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</si>
  <si>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</si>
  <si>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</si>
  <si>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</si>
  <si>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</si>
  <si>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</si>
  <si>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</si>
  <si>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</si>
  <si>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</si>
  <si>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</si>
  <si>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</si>
  <si>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</si>
  <si>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</si>
  <si>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</si>
  <si>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</si>
  <si>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</si>
  <si>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</si>
  <si>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</si>
  <si>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</si>
  <si>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</si>
  <si>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</si>
  <si>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</si>
  <si>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</si>
  <si>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</si>
  <si>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</si>
  <si>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</si>
  <si>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</si>
  <si>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</si>
  <si>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</si>
  <si>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</si>
  <si>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</si>
  <si>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</si>
  <si>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</si>
  <si>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</si>
  <si>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</si>
  <si>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</si>
  <si>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</si>
  <si>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</si>
  <si>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</si>
  <si>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</si>
  <si>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</si>
  <si>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</si>
  <si>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</si>
  <si>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</si>
  <si>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</si>
  <si>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</si>
  <si>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</si>
  <si>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</si>
  <si>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</si>
  <si>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</si>
  <si>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</si>
  <si>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</si>
  <si>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</si>
  <si>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</si>
  <si>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</si>
  <si>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</si>
  <si>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</si>
  <si>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</si>
  <si>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</si>
  <si>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</si>
  <si>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</si>
  <si>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</si>
  <si>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</si>
  <si>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</si>
  <si>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</si>
  <si>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</si>
  <si>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</si>
  <si>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</si>
  <si>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</si>
  <si>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</si>
  <si>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</si>
  <si>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</si>
  <si>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</si>
  <si>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</si>
  <si>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</si>
  <si>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</si>
  <si>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</si>
  <si>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</si>
  <si>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</si>
  <si>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</si>
  <si>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</si>
  <si>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</si>
  <si>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</si>
  <si>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</si>
  <si>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</si>
  <si>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</si>
  <si>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</si>
  <si>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</si>
  <si>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</si>
  <si>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</si>
  <si>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</si>
  <si>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</si>
  <si>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</si>
  <si>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</si>
  <si>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</si>
  <si>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</si>
  <si>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</si>
  <si>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</si>
  <si>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</si>
  <si>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</si>
  <si>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</si>
  <si>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</si>
  <si>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</si>
  <si>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</si>
  <si>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</si>
  <si>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</si>
  <si>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</si>
  <si>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</si>
  <si>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</si>
  <si>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</si>
  <si>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</si>
  <si>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</si>
  <si>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</si>
  <si>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</si>
  <si>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</si>
  <si>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</si>
  <si>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</si>
  <si>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</si>
  <si>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</si>
  <si>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</si>
  <si>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</si>
  <si>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</si>
  <si>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</si>
  <si>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</si>
  <si>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</si>
  <si>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</si>
  <si>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</si>
  <si>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</si>
  <si>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</si>
  <si>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</si>
  <si>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</si>
  <si>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</si>
  <si>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</si>
  <si>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</si>
  <si>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</si>
  <si>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</si>
  <si>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</si>
  <si>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</si>
  <si>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</si>
  <si>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</si>
  <si>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</si>
  <si>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</si>
  <si>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</si>
  <si>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</si>
  <si>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</si>
  <si>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</si>
  <si>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</si>
  <si>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</si>
  <si>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</si>
  <si>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</si>
  <si>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</si>
  <si>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</si>
  <si>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</si>
  <si>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</si>
  <si>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</si>
  <si>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</si>
  <si>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</si>
  <si>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</si>
  <si>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</si>
  <si>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</si>
  <si>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</si>
  <si>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</si>
  <si>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</si>
  <si>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</si>
  <si>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</si>
  <si>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</si>
  <si>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</si>
  <si>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</si>
  <si>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</si>
  <si>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</si>
  <si>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</si>
  <si>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</si>
  <si>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</si>
  <si>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</si>
  <si>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</si>
  <si>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</si>
  <si>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</si>
  <si>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</si>
  <si>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</si>
  <si>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</si>
  <si>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</si>
  <si>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</si>
  <si>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</si>
  <si>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</si>
  <si>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</si>
  <si>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</si>
  <si>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</si>
  <si>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</si>
  <si>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</si>
  <si>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</si>
  <si>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</si>
  <si>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</si>
  <si>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</si>
  <si>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</si>
  <si>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</si>
  <si>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</si>
  <si>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</si>
  <si>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</si>
  <si>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</si>
  <si>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</si>
  <si>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</si>
  <si>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</si>
  <si>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</si>
  <si>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</si>
  <si>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</si>
  <si>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</si>
  <si>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</si>
  <si>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</si>
  <si>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</si>
  <si>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</si>
  <si>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</si>
  <si>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</si>
  <si>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</si>
  <si>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</si>
  <si>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</si>
  <si>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</si>
  <si>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</si>
  <si>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</si>
  <si>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</si>
  <si>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</si>
  <si>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</si>
  <si>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</si>
  <si>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</si>
  <si>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</si>
  <si>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</si>
  <si>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</si>
  <si>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</si>
  <si>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</si>
  <si>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</si>
  <si>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</si>
  <si>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</si>
  <si>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</si>
  <si>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</si>
  <si>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</si>
  <si>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</si>
  <si>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</si>
  <si>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</si>
  <si>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</si>
  <si>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</si>
  <si>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</si>
  <si>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</si>
  <si>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</si>
  <si>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</si>
  <si>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</si>
  <si>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</si>
  <si>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</si>
  <si>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</si>
  <si>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</si>
  <si>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</si>
  <si>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</si>
  <si>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</si>
  <si>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</si>
  <si>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</si>
  <si>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</si>
  <si>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</si>
  <si>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</si>
  <si>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</si>
  <si>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</si>
  <si>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</si>
  <si>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</si>
  <si>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</si>
  <si>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</si>
  <si>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</si>
  <si>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</si>
  <si>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</si>
  <si>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</si>
  <si>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</si>
  <si>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</si>
  <si>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</si>
  <si>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</si>
  <si>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</si>
  <si>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</si>
  <si>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</si>
  <si>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</si>
  <si>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</si>
  <si>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</si>
  <si>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</si>
  <si>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</si>
  <si>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</si>
  <si>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</si>
  <si>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</si>
  <si>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</si>
  <si>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</si>
  <si>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</si>
  <si>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</si>
  <si>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</si>
  <si>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</si>
  <si>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</si>
  <si>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</si>
  <si>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</si>
  <si>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</si>
  <si>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</si>
  <si>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</si>
  <si>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</si>
  <si>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</si>
  <si>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</si>
  <si>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</si>
  <si>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</si>
  <si>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</si>
  <si>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</si>
  <si>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</si>
  <si>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</si>
  <si>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</si>
  <si>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</si>
  <si>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</si>
  <si>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</si>
  <si>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</si>
  <si>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</si>
  <si>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</si>
  <si>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</si>
  <si>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</si>
  <si>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</si>
  <si>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</si>
  <si>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</si>
  <si>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</si>
  <si>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</si>
  <si>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</si>
  <si>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</si>
  <si>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</si>
  <si>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</si>
  <si>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</si>
  <si>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</si>
  <si>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</si>
  <si>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</si>
  <si>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</si>
  <si>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</si>
  <si>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</si>
  <si>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</si>
  <si>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</si>
  <si>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</si>
  <si>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</si>
  <si>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</si>
  <si>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</si>
  <si>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</si>
  <si>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</si>
  <si>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</si>
  <si>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</si>
  <si>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</si>
  <si>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</si>
  <si>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</si>
  <si>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</si>
  <si>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</si>
  <si>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</si>
  <si>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</si>
  <si>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</si>
  <si>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</si>
  <si>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</si>
  <si>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</si>
  <si>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</si>
  <si>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</si>
  <si>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</si>
  <si>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</si>
  <si>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</si>
  <si>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</si>
  <si>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</si>
  <si>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</si>
  <si>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</si>
  <si>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</si>
  <si>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</si>
  <si>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</si>
  <si>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</si>
  <si>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</si>
  <si>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</si>
  <si>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</si>
  <si>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</si>
  <si>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</si>
  <si>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</si>
  <si>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</si>
  <si>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</si>
  <si>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</si>
  <si>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</si>
  <si>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</si>
  <si>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</si>
  <si>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</si>
  <si>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</si>
  <si>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</si>
  <si>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</si>
  <si>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</si>
  <si>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</si>
  <si>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</si>
  <si>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</si>
  <si>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</si>
  <si>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</si>
  <si>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</si>
  <si>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</si>
  <si>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</si>
  <si>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</si>
  <si>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</si>
  <si>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</si>
  <si>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</si>
  <si>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</si>
  <si>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</si>
  <si>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</si>
  <si>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</si>
  <si>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</si>
  <si>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</si>
  <si>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</si>
  <si>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</si>
  <si>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</si>
  <si>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</si>
  <si>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</si>
  <si>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</si>
  <si>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</si>
  <si>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</si>
  <si>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</si>
  <si>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</si>
  <si>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</si>
  <si>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</si>
  <si>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</si>
  <si>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</si>
  <si>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</si>
  <si>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</si>
  <si>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</si>
  <si>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</si>
  <si>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</si>
  <si>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</si>
  <si>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</si>
  <si>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</si>
  <si>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</si>
  <si>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</si>
  <si>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</si>
  <si>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</si>
  <si>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</si>
  <si>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</si>
  <si>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</si>
  <si>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</si>
  <si>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</si>
  <si>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</si>
  <si>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</si>
  <si>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</si>
  <si>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</si>
  <si>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</si>
  <si>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</si>
  <si>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</si>
  <si>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</si>
  <si>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</si>
  <si>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</si>
  <si>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</si>
  <si>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</si>
  <si>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</si>
  <si>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</si>
  <si>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</si>
  <si>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</si>
  <si>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</si>
  <si>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</si>
  <si>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</si>
  <si>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</si>
  <si>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</si>
  <si>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</si>
  <si>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</si>
  <si>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</si>
  <si>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</si>
  <si>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</si>
  <si>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</si>
  <si>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</si>
  <si>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</si>
  <si>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</si>
  <si>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</si>
  <si>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</si>
  <si>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</si>
  <si>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</si>
  <si>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</si>
  <si>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</si>
  <si>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</si>
  <si>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</si>
  <si>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</si>
  <si>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</si>
  <si>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</si>
  <si>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</si>
  <si>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</si>
  <si>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</si>
  <si>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</si>
  <si>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</si>
  <si>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</si>
  <si>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</si>
  <si>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</si>
  <si>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</si>
  <si>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</si>
  <si>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</si>
  <si>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</si>
  <si>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</si>
  <si>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</si>
  <si>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</si>
  <si>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</si>
  <si>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</si>
  <si>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</si>
  <si>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</si>
  <si>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</si>
  <si>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</si>
  <si>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</si>
  <si>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</si>
  <si>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</si>
  <si>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</si>
  <si>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</si>
  <si>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</si>
  <si>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</si>
  <si>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</si>
  <si>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</si>
  <si>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</si>
  <si>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</si>
  <si>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</si>
  <si>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</si>
  <si>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</si>
  <si>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</si>
  <si>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</si>
  <si>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</si>
  <si>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</si>
  <si>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</si>
  <si>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</si>
  <si>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</si>
  <si>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</si>
  <si>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</si>
  <si>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</si>
  <si>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</si>
  <si>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</si>
  <si>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</si>
  <si>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</si>
  <si>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</si>
  <si>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</si>
  <si>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</si>
  <si>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</si>
  <si>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</si>
  <si>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</si>
  <si>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</si>
  <si>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</si>
  <si>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</si>
  <si>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</si>
  <si>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</si>
  <si>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</si>
  <si>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</si>
  <si>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</si>
  <si>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</si>
  <si>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</si>
  <si>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</si>
  <si>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</si>
  <si>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</si>
  <si>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</si>
  <si>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</si>
  <si>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</si>
  <si>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</si>
  <si>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</si>
  <si>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</si>
  <si>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</si>
  <si>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</si>
  <si>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</si>
  <si>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</si>
  <si>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</si>
  <si>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</si>
  <si>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</si>
  <si>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</si>
  <si>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</si>
  <si>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</si>
  <si>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</si>
  <si>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</si>
  <si>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</si>
  <si>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</si>
  <si>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</si>
  <si>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</si>
  <si>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</si>
  <si>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</si>
  <si>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</si>
  <si>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</si>
  <si>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</si>
  <si>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</si>
  <si>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</si>
  <si>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</si>
  <si>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</si>
  <si>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</si>
  <si>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</si>
  <si>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</si>
  <si>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</si>
  <si>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</si>
  <si>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</si>
  <si>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</si>
  <si>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</si>
  <si>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</si>
  <si>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</si>
  <si>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</si>
  <si>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</si>
  <si>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</si>
  <si>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</si>
  <si>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</si>
  <si>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</si>
  <si>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</si>
  <si>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</si>
  <si>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</si>
  <si>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</si>
  <si>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</si>
  <si>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</si>
  <si>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</si>
  <si>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</si>
  <si>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</si>
  <si>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</si>
  <si>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</si>
  <si>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</si>
  <si>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</si>
  <si>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</si>
  <si>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</si>
  <si>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</si>
  <si>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</si>
  <si>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</si>
  <si>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</si>
  <si>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</si>
  <si>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</si>
  <si>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</si>
  <si>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</si>
  <si>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</si>
  <si>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</si>
  <si>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</si>
  <si>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</si>
  <si>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</si>
  <si>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</si>
  <si>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</si>
  <si>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</si>
  <si>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</si>
  <si>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</si>
  <si>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</si>
  <si>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</si>
  <si>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</si>
  <si>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</si>
  <si>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</si>
  <si>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</si>
  <si>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</si>
  <si>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</si>
  <si>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</si>
  <si>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</si>
  <si>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</si>
  <si>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</si>
  <si>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</si>
  <si>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</si>
  <si>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</si>
  <si>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</si>
  <si>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</si>
  <si>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</si>
  <si>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</si>
  <si>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</si>
  <si>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</si>
  <si>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</si>
  <si>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</si>
  <si>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</si>
  <si>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</si>
  <si>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</si>
  <si>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</si>
  <si>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</si>
  <si>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</si>
  <si>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</si>
  <si>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</si>
  <si>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</si>
  <si>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</si>
  <si>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</si>
  <si>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</si>
  <si>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</si>
  <si>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</si>
  <si>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</si>
  <si>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</si>
  <si>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</si>
  <si>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</si>
  <si>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</si>
  <si>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</si>
  <si>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</si>
  <si>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</si>
  <si>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</si>
  <si>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</si>
  <si>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</si>
  <si>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</si>
  <si>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</si>
  <si>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</si>
  <si>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</si>
  <si>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</si>
  <si>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</si>
  <si>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</si>
  <si>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</si>
  <si>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</si>
  <si>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</si>
  <si>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</si>
  <si>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</si>
  <si>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</si>
  <si>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</si>
  <si>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</si>
  <si>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</si>
  <si>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</si>
  <si>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</si>
  <si>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</si>
  <si>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</si>
  <si>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</si>
  <si>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</si>
  <si>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</si>
  <si>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</si>
  <si>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</si>
  <si>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</si>
  <si>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</si>
  <si>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</si>
  <si>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</si>
  <si>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</si>
  <si>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</si>
  <si>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</si>
  <si>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</si>
  <si>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</si>
  <si>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</si>
  <si>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</si>
  <si>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</si>
  <si>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</si>
  <si>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</si>
  <si>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</si>
  <si>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</si>
  <si>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</si>
  <si>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</si>
  <si>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</si>
  <si>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</si>
  <si>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</si>
  <si>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</si>
  <si>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</si>
  <si>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</si>
  <si>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</si>
  <si>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</si>
  <si>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</si>
  <si>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</si>
  <si>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</si>
  <si>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</si>
  <si>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</si>
  <si>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</si>
  <si>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</si>
  <si>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</si>
  <si>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</si>
  <si>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</si>
  <si>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</si>
  <si>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</si>
  <si>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</si>
  <si>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</si>
  <si>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</si>
  <si>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</si>
  <si>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</si>
  <si>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</si>
  <si>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</si>
  <si>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</si>
  <si>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</si>
  <si>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</si>
  <si>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</si>
  <si>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</si>
  <si>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</si>
  <si>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</si>
  <si>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</si>
  <si>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</si>
  <si>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</si>
  <si>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</si>
  <si>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</si>
  <si>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</si>
  <si>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MALAGA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</si>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</sst>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DwckVRtrXdeiYT+X0sSPDnzEylA0ToL+DTFFsgBqkBLgpET6I1sVpLiMO8Ckr/tC5H9OpJV608HIzDkO7B1Tw==" saltValue="yh9L/S4w7PSCXEJbBmJYl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18</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25.774965893587996</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3</v>
      </c>
      <c r="B10" s="502" t="str">
        <f>Datos!A10</f>
        <v>Jdos. Violencia contra la mujer</v>
      </c>
      <c r="C10" s="225">
        <f t="shared" si="0"/>
        <v>355</v>
      </c>
      <c r="D10" s="225">
        <f>IF(ISNUMBER(Datos!I10),Datos!I10," - ")</f>
        <v>362</v>
      </c>
      <c r="E10" s="226">
        <f>IF(ISNUMBER(Datos!J10),Datos!J10," - ")</f>
        <v>247</v>
      </c>
      <c r="F10" s="226">
        <f>IF(ISNUMBER(Datos!K10),Datos!K10," - ")</f>
        <v>244</v>
      </c>
      <c r="G10" s="1034" t="str">
        <f>IF(Datos!E10&lt;&gt;"",Datos!E10,Datos!D10)</f>
        <v>37</v>
      </c>
      <c r="H10" s="227">
        <f>IF(ISNUMBER(Datos!L10),Datos!L10," - ")</f>
        <v>358</v>
      </c>
      <c r="I10" s="1044" t="str">
        <f>IF(ISNUMBER(Datos!AS10/Datos!BM10),Datos!AS10/Datos!BM10," - ")</f>
        <v xml:space="preserve"> - </v>
      </c>
      <c r="J10" s="1045">
        <f>IF(ISNUMBER(Datos!BY10/Datos!CN10),Datos!BY10/Datos!CN10," - ")</f>
        <v>0</v>
      </c>
      <c r="K10" s="230">
        <f t="shared" ref="K10:K12" si="1">IF(ISNUMBER((E10-F10)/C10),(E10-F10)/C10," - ")</f>
        <v>8.4507042253521118E-3</v>
      </c>
      <c r="L10" s="1025">
        <f>IF(ISNUMBER(NºAsuntos!I10/NºAsuntos!G10),(NºAsuntos!I10/NºAsuntos!G10)*11," - ")</f>
        <v>16.139344262295083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4</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17.287637698898411</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355</v>
      </c>
      <c r="D13" s="1049">
        <f>SUBTOTAL(9,D9:D12)</f>
        <v>362</v>
      </c>
      <c r="E13" s="1050">
        <f>SUBTOTAL(9,E9:E12)</f>
        <v>247</v>
      </c>
      <c r="F13" s="1051">
        <f>SUBTOTAL(9,F9:F12)</f>
        <v>244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14</v>
      </c>
      <c r="B15" s="502" t="str">
        <f>Datos!A15</f>
        <v xml:space="preserve">Jdos. Instrucción                               </v>
      </c>
      <c r="C15" s="225">
        <f t="shared" ref="C15:C17" si="2">IF(ISNUMBER(H15-E15+F15),H15-E15+F15," - ")</f>
        <v>8000</v>
      </c>
      <c r="D15" s="225">
        <f>IF(ISNUMBER(IF(D_I="SI",Datos!I15,Datos!I15+Datos!AC15)),IF(D_I="SI",Datos!I15,Datos!I15+Datos!AC15)," - ")</f>
        <v>8050</v>
      </c>
      <c r="E15" s="226">
        <f>IF(ISNUMBER(IF(D_I="SI",Datos!J15,Datos!J15+Datos!AD15)),IF(D_I="SI",Datos!J15,Datos!J15+Datos!AD15)," - ")</f>
        <v>20936</v>
      </c>
      <c r="F15" s="226">
        <f>IF(ISNUMBER(IF(D_I="SI",Datos!K15,Datos!K15+Datos!AE15)),IF(D_I="SI",Datos!K15,Datos!K15+Datos!AE15)," - ")</f>
        <v>20709</v>
      </c>
      <c r="G15" s="1034" t="str">
        <f>IF(Datos!E15&lt;&gt;"",Datos!E15,Datos!D15)</f>
        <v>03</v>
      </c>
      <c r="H15" s="227">
        <f>IF(ISNUMBER(IF(D_I="SI",Datos!L15,Datos!L15+Datos!AF15)),IF(D_I="SI",Datos!L15,Datos!L15+Datos!AF15)," - ")</f>
        <v>8227</v>
      </c>
      <c r="I15" s="1044" t="str">
        <f>IF(ISNUMBER(Datos!AS15/Datos!BM15),Datos!AS15/Datos!BM15," - ")</f>
        <v xml:space="preserve"> - </v>
      </c>
      <c r="J15" s="1045">
        <f>IF(ISNUMBER(Datos!BY15/Datos!CN15),Datos!BY15/Datos!CN15," - ")</f>
        <v>0</v>
      </c>
      <c r="K15" s="230">
        <f t="shared" ref="K15:K17" si="3">IF(ISNUMBER((E15-F15)/C15),(E15-F15)/C15," - ")</f>
        <v>2.8375000000000001E-2</v>
      </c>
      <c r="L15" s="1025">
        <f>IF(ISNUMBER(NºAsuntos!I15/NºAsuntos!G15),(NºAsuntos!I15/NºAsuntos!G15)*11," - ")</f>
        <v>4.3699357767154376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3</v>
      </c>
      <c r="B17" s="502" t="str">
        <f>Datos!A17</f>
        <v>Jdos. Violencia contra la mujer</v>
      </c>
      <c r="C17" s="225">
        <f t="shared" si="2"/>
        <v>888</v>
      </c>
      <c r="D17" s="225">
        <f>IF(ISNUMBER(IF(D_I="SI",Datos!I17,Datos!I17+Datos!AC17)),IF(D_I="SI",Datos!I17,Datos!I17+Datos!AC17)," - ")</f>
        <v>867</v>
      </c>
      <c r="E17" s="226">
        <f>IF(ISNUMBER(IF(D_I="SI",Datos!J17,Datos!J17+Datos!AD17)),IF(D_I="SI",Datos!J17,Datos!J17+Datos!AD17)," - ")</f>
        <v>1485</v>
      </c>
      <c r="F17" s="226">
        <f>IF(ISNUMBER(IF(D_I="SI",Datos!K17,Datos!K17+Datos!AE17)),IF(D_I="SI",Datos!K17,Datos!K17+Datos!AE17)," - ")</f>
        <v>1417</v>
      </c>
      <c r="G17" s="1034" t="str">
        <f>IF(Datos!E17&lt;&gt;"",Datos!E17,Datos!D17)</f>
        <v>37</v>
      </c>
      <c r="H17" s="227">
        <f>IF(ISNUMBER(IF(D_I="SI",Datos!L17,Datos!L17+Datos!AF17)),IF(D_I="SI",Datos!L17,Datos!L17+Datos!AF17)," - ")</f>
        <v>956</v>
      </c>
      <c r="I17" s="1044" t="str">
        <f>IF(ISNUMBER(Datos!AS17/Datos!BM17),Datos!AS17/Datos!BM17," - ")</f>
        <v xml:space="preserve"> - </v>
      </c>
      <c r="J17" s="1045" t="str">
        <f>IF(ISNUMBER((Datos!BY17+Datos!BZ17)/Datos!CN17),(Datos!BY17+Datos!BZ17)/Datos!CN17," - ")</f>
        <v xml:space="preserve"> - </v>
      </c>
      <c r="K17" s="230">
        <f t="shared" si="3"/>
        <v>7.6576576576576572E-2</v>
      </c>
      <c r="L17" s="1025">
        <f>IF(ISNUMBER(NºAsuntos!I17/NºAsuntos!G17),(NºAsuntos!I17/NºAsuntos!G17)*11," - ")</f>
        <v>7.4213126323218068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8888</v>
      </c>
      <c r="D18" s="1049">
        <f>SUBTOTAL(9,D15:D17)</f>
        <v>8917</v>
      </c>
      <c r="E18" s="1050">
        <f>SUBTOTAL(9,E15:E17)</f>
        <v>22421</v>
      </c>
      <c r="F18" s="1050">
        <f>SUBTOTAL(9,F15:F17)</f>
        <v>22126</v>
      </c>
      <c r="G18" s="1052" t="str">
        <f ca="1">INDIRECT(CONCATENATE("G",ROW()-1))</f>
        <v>37</v>
      </c>
      <c r="H18" s="1053">
        <f ca="1">SUMIF(G$14:G17,G18,H$14:H17)</f>
        <v>956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9243</v>
      </c>
      <c r="D19" s="1071">
        <f>SUBTOTAL(9,D9:D18)</f>
        <v>9279</v>
      </c>
      <c r="E19" s="1072">
        <f>SUBTOTAL(9,E9:E18)</f>
        <v>22668</v>
      </c>
      <c r="F19" s="1072">
        <f>SUBTOTAL(9,F9:F18)</f>
        <v>22370</v>
      </c>
      <c r="G19" s="1073"/>
      <c r="H19" s="1074">
        <f ca="1">SUMIF(B9:B18,"TOTAL",H9:H18)</f>
        <v>956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QFdmc1VFw6HrD97csIqYVQ2AZbw7FZPk44/u1ShP8+UGEfUW47a6mRgwgbPQAxQjmUYsUH5MRTm871QqSa7fg==" saltValue="yeaK7NYZepyy2UuPaIcqV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CDh3wlhZ8y0snnJW5NdaA90nbJ64gUXW2YsPKLS32R+NxInpf6qDWrWQTvF94YU5zK9/NPFRNVDHhftgkcduw==" saltValue="HqBPgG+LEoFRW79QlL924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28504</v>
      </c>
      <c r="J9" s="181">
        <v>18538</v>
      </c>
      <c r="K9" s="181">
        <v>13115</v>
      </c>
      <c r="L9" s="181">
        <v>33918</v>
      </c>
      <c r="M9" s="181">
        <v>2386</v>
      </c>
      <c r="N9" s="181">
        <v>8521</v>
      </c>
      <c r="O9" s="181">
        <v>4604</v>
      </c>
      <c r="P9" s="181">
        <v>2568</v>
      </c>
      <c r="Q9" s="181">
        <v>1561</v>
      </c>
      <c r="R9" s="181">
        <v>24974</v>
      </c>
      <c r="S9" s="181">
        <v>25439</v>
      </c>
      <c r="T9" s="181">
        <v>8865</v>
      </c>
      <c r="U9" s="181">
        <v>8152</v>
      </c>
      <c r="V9" s="181">
        <v>26291</v>
      </c>
      <c r="W9" s="181">
        <v>1877</v>
      </c>
      <c r="X9" s="188">
        <v>5103</v>
      </c>
      <c r="Y9" s="191">
        <v>592</v>
      </c>
      <c r="Z9" s="181">
        <v>1386</v>
      </c>
      <c r="AA9" s="181">
        <v>1545</v>
      </c>
      <c r="AB9" s="181">
        <v>433</v>
      </c>
      <c r="AC9" s="181">
        <v>0</v>
      </c>
      <c r="AD9" s="181">
        <v>0</v>
      </c>
      <c r="AE9" s="181">
        <v>0</v>
      </c>
      <c r="AF9" s="188">
        <v>0</v>
      </c>
      <c r="AG9" s="191">
        <v>600</v>
      </c>
      <c r="AH9" s="181">
        <v>915</v>
      </c>
      <c r="AI9" s="181">
        <v>1051</v>
      </c>
      <c r="AJ9" s="192">
        <v>487</v>
      </c>
      <c r="AK9" s="180">
        <v>0</v>
      </c>
      <c r="AL9" s="181">
        <v>0</v>
      </c>
      <c r="AM9" s="181">
        <v>0</v>
      </c>
      <c r="AN9" s="188">
        <v>0</v>
      </c>
      <c r="AO9" s="258">
        <v>18</v>
      </c>
      <c r="AP9" s="154">
        <v>18</v>
      </c>
      <c r="AQ9" s="154">
        <v>18</v>
      </c>
      <c r="AR9" s="193">
        <v>18</v>
      </c>
      <c r="AS9" s="338" t="s">
        <v>799</v>
      </c>
      <c r="AT9" s="195"/>
      <c r="AU9" s="194"/>
      <c r="AV9" s="195"/>
      <c r="AW9" s="194"/>
      <c r="AX9" s="195"/>
      <c r="AY9" s="123">
        <f>IF(ISNUMBER(IF(J_V="SI",S9,S9+AG9)),IF(J_V="SI",S9,S9+AG9)," - ")</f>
        <v>26039</v>
      </c>
      <c r="AZ9" s="123">
        <f>IF(ISNUMBER(IF(J_V="SI",T9,T9+AH9)),IF(J_V="SI",T9,T9+AH9)," - ")</f>
        <v>9780</v>
      </c>
      <c r="BA9" s="124">
        <f>IF(ISNUMBER(IF(J_V="SI",U9,U9+AI9)),IF(J_V="SI",U9,U9+AI9)," - ")</f>
        <v>9203</v>
      </c>
      <c r="BB9" s="124">
        <f>IF(ISNUMBER(IF(J_V="SI",V9,V9+AJ9)),IF(J_V="SI",V9,V9+AJ9)," - ")</f>
        <v>26778</v>
      </c>
      <c r="BC9" s="125">
        <f>IF(ISNUMBER(X9),X9," - ")</f>
        <v>5103</v>
      </c>
      <c r="BD9" s="126">
        <f>IF(ISNUMBER(BA9/AZ9),BA9/AZ9," - ")</f>
        <v>0.94100204498977502</v>
      </c>
      <c r="BE9" s="127">
        <f>IF(ISNUMBER(BB9/BA9),BB9/BA9, " - ")</f>
        <v>2.9097033576007822</v>
      </c>
      <c r="BF9" s="127">
        <f>IF(ISNUMBER(BC9/BA9),BC9/BA9, " - ")</f>
        <v>0.55449310007606212</v>
      </c>
      <c r="BG9" s="196">
        <f>IF(ISNUMBER((AY9+AZ9)/BA9),(AY9+AZ9)/BA9," - ")</f>
        <v>3.892100402042812</v>
      </c>
      <c r="BH9" s="154">
        <v>17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362</v>
      </c>
      <c r="J10" s="181">
        <v>247</v>
      </c>
      <c r="K10" s="181">
        <v>244</v>
      </c>
      <c r="L10" s="181">
        <v>358</v>
      </c>
      <c r="M10" s="181">
        <v>69</v>
      </c>
      <c r="N10" s="181">
        <v>144</v>
      </c>
      <c r="O10" s="181">
        <v>53</v>
      </c>
      <c r="P10" s="181">
        <v>76</v>
      </c>
      <c r="Q10" s="181">
        <v>80</v>
      </c>
      <c r="R10" s="181">
        <v>373</v>
      </c>
      <c r="S10" s="181">
        <v>345</v>
      </c>
      <c r="T10" s="181">
        <v>126</v>
      </c>
      <c r="U10" s="181">
        <v>160</v>
      </c>
      <c r="V10" s="181">
        <v>311</v>
      </c>
      <c r="W10" s="181">
        <v>57</v>
      </c>
      <c r="X10" s="188">
        <v>109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3</v>
      </c>
      <c r="AP10" s="155">
        <v>3</v>
      </c>
      <c r="AQ10" s="154">
        <v>3</v>
      </c>
      <c r="AR10" s="155">
        <v>3</v>
      </c>
      <c r="AS10" s="339" t="s">
        <v>793</v>
      </c>
      <c r="AT10" s="192"/>
      <c r="AU10" s="200"/>
      <c r="AV10" s="192"/>
      <c r="AW10" s="200"/>
      <c r="AX10" s="192"/>
      <c r="AY10" s="128">
        <f t="shared" ref="AY10:BC10" si="0">IF(ISNUMBER(S10),S10," - ")</f>
        <v>345</v>
      </c>
      <c r="AZ10" s="129">
        <f t="shared" si="0"/>
        <v>126</v>
      </c>
      <c r="BA10" s="129">
        <f t="shared" si="0"/>
        <v>160</v>
      </c>
      <c r="BB10" s="129">
        <f t="shared" si="0"/>
        <v>311</v>
      </c>
      <c r="BC10" s="125">
        <f t="shared" si="0"/>
        <v>57</v>
      </c>
      <c r="BD10" s="126">
        <f>IF(ISNUMBER(BA10/AZ10),BA10/AZ10," - ")</f>
        <v>1.2698412698412698</v>
      </c>
      <c r="BE10" s="127">
        <f>IF(ISNUMBER(BB10/BA10),BB10/BA10, " - ")</f>
        <v>1.9437500000000001</v>
      </c>
      <c r="BF10" s="127">
        <f>IF(ISNUMBER(BC10/BA10),BC10/BA10, " - ")</f>
        <v>0.35625000000000001</v>
      </c>
      <c r="BG10" s="196">
        <f>IF(ISNUMBER((AY10+AZ10)/BA10),(AY10+AZ10)/BA10," - ")</f>
        <v>2.9437500000000001</v>
      </c>
      <c r="BH10" s="155">
        <v>3</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2133</v>
      </c>
      <c r="J11" s="183">
        <v>1715</v>
      </c>
      <c r="K11" s="183">
        <v>1504</v>
      </c>
      <c r="L11" s="183">
        <v>2437</v>
      </c>
      <c r="M11" s="183">
        <v>642</v>
      </c>
      <c r="N11" s="183">
        <v>426</v>
      </c>
      <c r="O11" s="181">
        <v>618</v>
      </c>
      <c r="P11" s="183">
        <v>331</v>
      </c>
      <c r="Q11" s="183">
        <v>263</v>
      </c>
      <c r="R11" s="183">
        <v>2002</v>
      </c>
      <c r="S11" s="183">
        <v>2162</v>
      </c>
      <c r="T11" s="183">
        <v>998</v>
      </c>
      <c r="U11" s="183">
        <v>886</v>
      </c>
      <c r="V11" s="183">
        <v>2274</v>
      </c>
      <c r="W11" s="183">
        <v>382</v>
      </c>
      <c r="X11" s="189">
        <v>280</v>
      </c>
      <c r="Y11" s="191">
        <v>93</v>
      </c>
      <c r="Z11" s="181">
        <v>146</v>
      </c>
      <c r="AA11" s="181">
        <v>130</v>
      </c>
      <c r="AB11" s="181">
        <v>131</v>
      </c>
      <c r="AC11" s="183">
        <v>0</v>
      </c>
      <c r="AD11" s="183">
        <v>0</v>
      </c>
      <c r="AE11" s="183">
        <v>0</v>
      </c>
      <c r="AF11" s="189">
        <v>0</v>
      </c>
      <c r="AG11" s="202">
        <v>125</v>
      </c>
      <c r="AH11" s="183">
        <v>109</v>
      </c>
      <c r="AI11" s="183">
        <v>74</v>
      </c>
      <c r="AJ11" s="203">
        <v>160</v>
      </c>
      <c r="AK11" s="182">
        <v>0</v>
      </c>
      <c r="AL11" s="183">
        <v>0</v>
      </c>
      <c r="AM11" s="183">
        <v>0</v>
      </c>
      <c r="AN11" s="189">
        <v>0</v>
      </c>
      <c r="AO11" s="259">
        <v>4</v>
      </c>
      <c r="AP11" s="155">
        <v>4</v>
      </c>
      <c r="AQ11" s="155">
        <v>4</v>
      </c>
      <c r="AR11" s="154">
        <v>4</v>
      </c>
      <c r="AS11" s="340" t="s">
        <v>801</v>
      </c>
      <c r="AT11" s="203"/>
      <c r="AU11" s="202"/>
      <c r="AV11" s="203"/>
      <c r="AW11" s="202"/>
      <c r="AX11" s="203"/>
      <c r="AY11" s="126">
        <f t="shared" ref="AY11:BB12" si="1">IF(ISNUMBER(IF(J_V="SI",S11,S11+AG11)),IF(J_V="SI",S11,S11+AG11)," - ")</f>
        <v>2287</v>
      </c>
      <c r="AZ11" s="127">
        <f t="shared" si="1"/>
        <v>1107</v>
      </c>
      <c r="BA11" s="127">
        <f t="shared" si="1"/>
        <v>960</v>
      </c>
      <c r="BB11" s="127">
        <f t="shared" si="1"/>
        <v>2434</v>
      </c>
      <c r="BC11" s="125">
        <f>IF(ISNUMBER(X11),X11," - ")</f>
        <v>280</v>
      </c>
      <c r="BD11" s="126">
        <f t="shared" ref="BD11:BD12" si="2">IF(ISNUMBER(BA11/AZ11),BA11/AZ11," - ")</f>
        <v>0.86720867208672092</v>
      </c>
      <c r="BE11" s="127">
        <f t="shared" ref="BE11:BE12" si="3">IF(ISNUMBER(BB11/BA11),BB11/BA11, " - ")</f>
        <v>2.5354166666666669</v>
      </c>
      <c r="BF11" s="127">
        <f t="shared" ref="BF11:BF12" si="4">IF(ISNUMBER(BC11/BA11),BC11/BA11, " - ")</f>
        <v>0.29166666666666669</v>
      </c>
      <c r="BG11" s="196">
        <f t="shared" ref="BG11:BG12" si="5">IF(ISNUMBER((AY11+AZ11)/BA11),(AY11+AZ11)/BA11," - ")</f>
        <v>3.5354166666666669</v>
      </c>
      <c r="BH11" s="155">
        <v>4</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30999</v>
      </c>
      <c r="J13" s="184">
        <f t="shared" si="6"/>
        <v>20500</v>
      </c>
      <c r="K13" s="184">
        <f t="shared" si="6"/>
        <v>14863</v>
      </c>
      <c r="L13" s="184">
        <f t="shared" si="6"/>
        <v>36713</v>
      </c>
      <c r="M13" s="184">
        <f t="shared" si="6"/>
        <v>3097</v>
      </c>
      <c r="N13" s="184">
        <f t="shared" si="6"/>
        <v>9091</v>
      </c>
      <c r="O13" s="184">
        <f t="shared" si="6"/>
        <v>5275</v>
      </c>
      <c r="P13" s="184">
        <f t="shared" si="6"/>
        <v>2975</v>
      </c>
      <c r="Q13" s="184">
        <f t="shared" si="6"/>
        <v>1904</v>
      </c>
      <c r="R13" s="184">
        <f t="shared" si="6"/>
        <v>27349</v>
      </c>
      <c r="S13" s="184">
        <f t="shared" si="6"/>
        <v>27946</v>
      </c>
      <c r="T13" s="184">
        <f t="shared" si="6"/>
        <v>9989</v>
      </c>
      <c r="U13" s="184">
        <f t="shared" si="6"/>
        <v>9198</v>
      </c>
      <c r="V13" s="184">
        <f t="shared" si="6"/>
        <v>28876</v>
      </c>
      <c r="W13" s="184">
        <f t="shared" si="6"/>
        <v>2316</v>
      </c>
      <c r="X13" s="184">
        <f t="shared" si="6"/>
        <v>5492</v>
      </c>
      <c r="Y13" s="184">
        <f t="shared" si="6"/>
        <v>685</v>
      </c>
      <c r="Z13" s="184">
        <f t="shared" si="6"/>
        <v>1532</v>
      </c>
      <c r="AA13" s="184">
        <f t="shared" si="6"/>
        <v>1675</v>
      </c>
      <c r="AB13" s="184">
        <f t="shared" si="6"/>
        <v>564</v>
      </c>
      <c r="AC13" s="184">
        <f t="shared" si="6"/>
        <v>0</v>
      </c>
      <c r="AD13" s="184">
        <f t="shared" si="6"/>
        <v>0</v>
      </c>
      <c r="AE13" s="184">
        <f t="shared" si="6"/>
        <v>0</v>
      </c>
      <c r="AF13" s="184">
        <f>SUBTOTAL(9,AF9:AF12)</f>
        <v>0</v>
      </c>
      <c r="AG13" s="184">
        <f t="shared" ref="AG13:AT13" si="7">SUBTOTAL(9,AG8:AG12)</f>
        <v>725</v>
      </c>
      <c r="AH13" s="184">
        <f t="shared" si="7"/>
        <v>1024</v>
      </c>
      <c r="AI13" s="184">
        <f t="shared" si="7"/>
        <v>1125</v>
      </c>
      <c r="AJ13" s="184">
        <f t="shared" si="7"/>
        <v>647</v>
      </c>
      <c r="AK13" s="184">
        <f t="shared" si="7"/>
        <v>0</v>
      </c>
      <c r="AL13" s="184">
        <f t="shared" si="7"/>
        <v>0</v>
      </c>
      <c r="AM13" s="184">
        <f t="shared" si="7"/>
        <v>0</v>
      </c>
      <c r="AN13" s="184">
        <f t="shared" si="7"/>
        <v>0</v>
      </c>
      <c r="AO13" s="184">
        <f t="shared" si="7"/>
        <v>25</v>
      </c>
      <c r="AP13" s="184">
        <f t="shared" si="7"/>
        <v>25</v>
      </c>
      <c r="AQ13" s="184">
        <f t="shared" si="7"/>
        <v>25</v>
      </c>
      <c r="AR13" s="184">
        <f t="shared" si="7"/>
        <v>25</v>
      </c>
      <c r="AS13" s="184">
        <f t="shared" si="7"/>
        <v>0</v>
      </c>
      <c r="AT13" s="184">
        <f t="shared" si="7"/>
        <v>0</v>
      </c>
      <c r="AU13" s="204"/>
      <c r="AV13" s="132"/>
      <c r="AW13" s="204"/>
      <c r="AX13" s="132"/>
      <c r="AY13" s="184">
        <f>SUBTOTAL(9,AY8:AY12)</f>
        <v>28671</v>
      </c>
      <c r="AZ13" s="184">
        <f>SUBTOTAL(9,AZ8:AZ12)</f>
        <v>11013</v>
      </c>
      <c r="BA13" s="184">
        <f>SUBTOTAL(9,BA8:BA12)</f>
        <v>10323</v>
      </c>
      <c r="BB13" s="184">
        <f>SUBTOTAL(9,BB8:BB12)</f>
        <v>29523</v>
      </c>
      <c r="BC13" s="184">
        <f>SUBTOTAL(9,BC8:BC12)</f>
        <v>5440</v>
      </c>
      <c r="BD13" s="205">
        <f>IF(ISNUMBER(BA13/AZ13),BA13/AZ13," - ")</f>
        <v>0.93734677199673111</v>
      </c>
      <c r="BE13" s="206">
        <f>IF(ISNUMBER(BB13/BA13),BB13/BA13, " - ")</f>
        <v>2.859924440569602</v>
      </c>
      <c r="BF13" s="206">
        <f>IF(ISNUMBER(BC13/BA13),BC13/BA13, " - ")</f>
        <v>0.52697859149472048</v>
      </c>
      <c r="BG13" s="207">
        <f>IF(ISNUMBER((AY13+AZ13)/BA13),(AY13+AZ13)/BA13," - ")</f>
        <v>3.8442313281022957</v>
      </c>
      <c r="BH13" s="140">
        <f>SUBTOTAL(9,BH8:BH12)</f>
        <v>24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8050</v>
      </c>
      <c r="J15" s="183">
        <v>20936</v>
      </c>
      <c r="K15" s="183">
        <v>20709</v>
      </c>
      <c r="L15" s="183">
        <v>8227</v>
      </c>
      <c r="M15" s="183">
        <v>1647</v>
      </c>
      <c r="N15" s="183">
        <v>14952</v>
      </c>
      <c r="O15" s="181">
        <v>354</v>
      </c>
      <c r="P15" s="183">
        <v>685</v>
      </c>
      <c r="Q15" s="183">
        <v>664</v>
      </c>
      <c r="R15" s="183">
        <v>1196</v>
      </c>
      <c r="S15" s="183">
        <v>5824</v>
      </c>
      <c r="T15" s="183">
        <v>20104</v>
      </c>
      <c r="U15" s="183">
        <v>19624</v>
      </c>
      <c r="V15" s="183">
        <v>6382</v>
      </c>
      <c r="W15" s="183">
        <v>1353</v>
      </c>
      <c r="X15" s="189">
        <v>14664</v>
      </c>
      <c r="Y15" s="202">
        <v>0</v>
      </c>
      <c r="Z15" s="183">
        <v>0</v>
      </c>
      <c r="AA15" s="183">
        <v>0</v>
      </c>
      <c r="AB15" s="183">
        <v>0</v>
      </c>
      <c r="AC15" s="183">
        <v>1</v>
      </c>
      <c r="AD15" s="183">
        <v>169</v>
      </c>
      <c r="AE15" s="183">
        <v>169</v>
      </c>
      <c r="AF15" s="189">
        <v>1</v>
      </c>
      <c r="AG15" s="202">
        <v>0</v>
      </c>
      <c r="AH15" s="183">
        <v>0</v>
      </c>
      <c r="AI15" s="183">
        <v>0</v>
      </c>
      <c r="AJ15" s="203">
        <v>0</v>
      </c>
      <c r="AK15" s="182">
        <v>5</v>
      </c>
      <c r="AL15" s="183">
        <v>59</v>
      </c>
      <c r="AM15" s="183">
        <v>63</v>
      </c>
      <c r="AN15" s="189">
        <v>1</v>
      </c>
      <c r="AO15" s="259">
        <v>14</v>
      </c>
      <c r="AP15" s="155">
        <v>14</v>
      </c>
      <c r="AQ15" s="155">
        <v>14</v>
      </c>
      <c r="AR15" s="155">
        <v>14</v>
      </c>
      <c r="AS15" s="340" t="s">
        <v>527</v>
      </c>
      <c r="AT15" s="203" t="s">
        <v>326</v>
      </c>
      <c r="AU15" s="202"/>
      <c r="AV15" s="203"/>
      <c r="AW15" s="202"/>
      <c r="AX15" s="203"/>
      <c r="AY15" s="128">
        <f t="shared" ref="AY15:BB16" si="9">IF(ISNUMBER(IF(D_I="SI",S15,S15+AK15)),IF(D_I="SI",S15,S15+AK15)," - ")</f>
        <v>5824</v>
      </c>
      <c r="AZ15" s="129">
        <f t="shared" si="9"/>
        <v>20104</v>
      </c>
      <c r="BA15" s="129">
        <f t="shared" si="9"/>
        <v>19624</v>
      </c>
      <c r="BB15" s="129">
        <f t="shared" si="9"/>
        <v>6382</v>
      </c>
      <c r="BC15" s="125">
        <f>IF(ISNUMBER(W15),W15," - ")</f>
        <v>1353</v>
      </c>
      <c r="BD15" s="126">
        <f>IF(ISNUMBER(BA15/AZ15),BA15/AZ15," - ")</f>
        <v>0.97612415439713485</v>
      </c>
      <c r="BE15" s="127">
        <f>IF(ISNUMBER(BB15/BA15),BB15/BA15, " - ")</f>
        <v>0.3252140236445169</v>
      </c>
      <c r="BF15" s="127">
        <f>IF(ISNUMBER(BC15/BA15),BC15/BA15, " - ")</f>
        <v>6.894618834080718E-2</v>
      </c>
      <c r="BG15" s="196">
        <f t="shared" ref="BG15:BG16" si="10">IF(ISNUMBER((AY15+AZ15)/BA15),(AY15+AZ15)/BA15," - ")</f>
        <v>1.3212392988177741</v>
      </c>
      <c r="BH15" s="155">
        <v>14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867</v>
      </c>
      <c r="J17" s="183">
        <v>1485</v>
      </c>
      <c r="K17" s="183">
        <v>1417</v>
      </c>
      <c r="L17" s="183">
        <v>956</v>
      </c>
      <c r="M17" s="183">
        <v>76</v>
      </c>
      <c r="N17" s="183">
        <v>835</v>
      </c>
      <c r="O17" s="183">
        <v>2</v>
      </c>
      <c r="P17" s="183">
        <v>6</v>
      </c>
      <c r="Q17" s="183">
        <v>7</v>
      </c>
      <c r="R17" s="183">
        <v>14</v>
      </c>
      <c r="S17" s="183">
        <v>639</v>
      </c>
      <c r="T17" s="183">
        <v>1922</v>
      </c>
      <c r="U17" s="183">
        <v>1735</v>
      </c>
      <c r="V17" s="183">
        <v>830</v>
      </c>
      <c r="W17" s="183">
        <v>73</v>
      </c>
      <c r="X17" s="189">
        <v>1072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3</v>
      </c>
      <c r="AP17" s="155">
        <v>3</v>
      </c>
      <c r="AQ17" s="154">
        <v>3</v>
      </c>
      <c r="AR17" s="155">
        <v>3</v>
      </c>
      <c r="AS17" s="339" t="s">
        <v>792</v>
      </c>
      <c r="AT17" s="209"/>
      <c r="AU17" s="200"/>
      <c r="AV17" s="209"/>
      <c r="AW17" s="200"/>
      <c r="AX17" s="209"/>
      <c r="AY17" s="128">
        <f t="shared" ref="AY17:BB17" si="14">IF(ISNUMBER(S17),S17," - ")</f>
        <v>639</v>
      </c>
      <c r="AZ17" s="129">
        <f t="shared" si="14"/>
        <v>1922</v>
      </c>
      <c r="BA17" s="129">
        <f t="shared" si="14"/>
        <v>1735</v>
      </c>
      <c r="BB17" s="129">
        <f t="shared" si="14"/>
        <v>830</v>
      </c>
      <c r="BC17" s="125">
        <f>IF(ISNUMBER(W17),W17," - ")</f>
        <v>73</v>
      </c>
      <c r="BD17" s="126">
        <f>IF(ISNUMBER(BA17/AZ17),BA17/AZ17," - ")</f>
        <v>0.90270551508844954</v>
      </c>
      <c r="BE17" s="127">
        <f>IF(ISNUMBER(BB17/BA17),BB17/BA17, " - ")</f>
        <v>0.47838616714697407</v>
      </c>
      <c r="BF17" s="127">
        <f>IF(ISNUMBER(BC17/BA17),BC17/BA17, " - ")</f>
        <v>4.2074927953890492E-2</v>
      </c>
      <c r="BG17" s="196">
        <f>IF(ISNUMBER((AY17+AZ17)/BA17),(AY17+AZ17)/BA17," - ")</f>
        <v>1.4760806916426512</v>
      </c>
      <c r="BH17" s="155">
        <v>3</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8917</v>
      </c>
      <c r="J18" s="184">
        <f t="shared" si="15"/>
        <v>22421</v>
      </c>
      <c r="K18" s="184">
        <f t="shared" si="15"/>
        <v>22126</v>
      </c>
      <c r="L18" s="184">
        <f t="shared" si="15"/>
        <v>9183</v>
      </c>
      <c r="M18" s="184">
        <f t="shared" si="15"/>
        <v>1723</v>
      </c>
      <c r="N18" s="184">
        <f t="shared" si="15"/>
        <v>15787</v>
      </c>
      <c r="O18" s="184">
        <f t="shared" si="15"/>
        <v>356</v>
      </c>
      <c r="P18" s="184">
        <f t="shared" si="15"/>
        <v>691</v>
      </c>
      <c r="Q18" s="184">
        <f t="shared" si="15"/>
        <v>671</v>
      </c>
      <c r="R18" s="184">
        <f t="shared" si="15"/>
        <v>1210</v>
      </c>
      <c r="S18" s="184">
        <f t="shared" si="15"/>
        <v>6463</v>
      </c>
      <c r="T18" s="184">
        <f t="shared" si="15"/>
        <v>22026</v>
      </c>
      <c r="U18" s="184">
        <f t="shared" si="15"/>
        <v>21359</v>
      </c>
      <c r="V18" s="184">
        <f t="shared" si="15"/>
        <v>7212</v>
      </c>
      <c r="W18" s="184">
        <f t="shared" si="15"/>
        <v>1426</v>
      </c>
      <c r="X18" s="184">
        <f t="shared" si="15"/>
        <v>15736</v>
      </c>
      <c r="Y18" s="184">
        <f t="shared" si="15"/>
        <v>0</v>
      </c>
      <c r="Z18" s="184">
        <f t="shared" si="15"/>
        <v>0</v>
      </c>
      <c r="AA18" s="184">
        <f t="shared" si="15"/>
        <v>0</v>
      </c>
      <c r="AB18" s="184">
        <f t="shared" si="15"/>
        <v>0</v>
      </c>
      <c r="AC18" s="184">
        <f t="shared" si="15"/>
        <v>1</v>
      </c>
      <c r="AD18" s="184">
        <f t="shared" si="15"/>
        <v>169</v>
      </c>
      <c r="AE18" s="184">
        <f t="shared" si="15"/>
        <v>169</v>
      </c>
      <c r="AF18" s="184">
        <f t="shared" si="15"/>
        <v>1</v>
      </c>
      <c r="AG18" s="184">
        <f t="shared" si="15"/>
        <v>0</v>
      </c>
      <c r="AH18" s="184">
        <f t="shared" si="15"/>
        <v>0</v>
      </c>
      <c r="AI18" s="184">
        <f t="shared" si="15"/>
        <v>0</v>
      </c>
      <c r="AJ18" s="184">
        <f t="shared" si="15"/>
        <v>0</v>
      </c>
      <c r="AK18" s="184">
        <f t="shared" si="15"/>
        <v>5</v>
      </c>
      <c r="AL18" s="184">
        <f t="shared" si="15"/>
        <v>59</v>
      </c>
      <c r="AM18" s="184">
        <f t="shared" si="15"/>
        <v>63</v>
      </c>
      <c r="AN18" s="184">
        <f t="shared" si="15"/>
        <v>1</v>
      </c>
      <c r="AO18" s="184">
        <f t="shared" si="15"/>
        <v>17</v>
      </c>
      <c r="AP18" s="184">
        <f t="shared" si="15"/>
        <v>17</v>
      </c>
      <c r="AQ18" s="184">
        <f t="shared" si="15"/>
        <v>17</v>
      </c>
      <c r="AR18" s="184">
        <f t="shared" si="15"/>
        <v>17</v>
      </c>
      <c r="AS18" s="184">
        <f t="shared" si="15"/>
        <v>0</v>
      </c>
      <c r="AT18" s="184">
        <f t="shared" si="15"/>
        <v>0</v>
      </c>
      <c r="AU18" s="204"/>
      <c r="AV18" s="132"/>
      <c r="AW18" s="204"/>
      <c r="AX18" s="132"/>
      <c r="AY18" s="184">
        <f>SUBTOTAL(9,AY14:AY17)</f>
        <v>6463</v>
      </c>
      <c r="AZ18" s="184">
        <f>SUBTOTAL(9,AZ14:AZ17)</f>
        <v>22026</v>
      </c>
      <c r="BA18" s="184">
        <f>SUBTOTAL(9,BA14:BA17)</f>
        <v>21359</v>
      </c>
      <c r="BB18" s="184">
        <f>SUBTOTAL(9,BB14:BB17)</f>
        <v>7212</v>
      </c>
      <c r="BC18" s="184">
        <f>SUBTOTAL(9,BC14:BC17)</f>
        <v>1426</v>
      </c>
      <c r="BD18" s="205">
        <f>IF(ISNUMBER(BA18/AZ18),BA18/AZ18," - ")</f>
        <v>0.96971760646508676</v>
      </c>
      <c r="BE18" s="206">
        <f>IF(ISNUMBER(BB18/BA18),BB18/BA18, " - ")</f>
        <v>0.33765625731541737</v>
      </c>
      <c r="BF18" s="206">
        <f>IF(ISNUMBER(BC18/BA18),BC18/BA18, " - ")</f>
        <v>6.6763425253991288E-2</v>
      </c>
      <c r="BG18" s="207">
        <f>IF(ISNUMBER((AY18+AZ18)/BA18),(AY18+AZ18)/BA18," - ")</f>
        <v>1.3338171262699565</v>
      </c>
      <c r="BH18" s="184">
        <f>SUBTOTAL(9,BH14:BH17)</f>
        <v>17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39916</v>
      </c>
      <c r="J19" s="134">
        <f t="shared" si="18"/>
        <v>42921</v>
      </c>
      <c r="K19" s="134">
        <f t="shared" si="18"/>
        <v>36989</v>
      </c>
      <c r="L19" s="134">
        <f t="shared" si="18"/>
        <v>45896</v>
      </c>
      <c r="M19" s="134">
        <f t="shared" si="18"/>
        <v>4820</v>
      </c>
      <c r="N19" s="134">
        <f t="shared" si="18"/>
        <v>24878</v>
      </c>
      <c r="O19" s="134">
        <f t="shared" si="18"/>
        <v>5631</v>
      </c>
      <c r="P19" s="134">
        <f t="shared" si="18"/>
        <v>3666</v>
      </c>
      <c r="Q19" s="134">
        <f t="shared" si="18"/>
        <v>2575</v>
      </c>
      <c r="R19" s="134">
        <f t="shared" si="18"/>
        <v>28559</v>
      </c>
      <c r="S19" s="134">
        <f t="shared" si="18"/>
        <v>34409</v>
      </c>
      <c r="T19" s="134">
        <f t="shared" si="18"/>
        <v>32015</v>
      </c>
      <c r="U19" s="134">
        <f t="shared" si="18"/>
        <v>30557</v>
      </c>
      <c r="V19" s="134">
        <f t="shared" si="18"/>
        <v>36088</v>
      </c>
      <c r="W19" s="134">
        <f t="shared" si="18"/>
        <v>3742</v>
      </c>
      <c r="X19" s="134">
        <f t="shared" si="18"/>
        <v>21228</v>
      </c>
      <c r="Y19" s="134">
        <f t="shared" si="18"/>
        <v>685</v>
      </c>
      <c r="Z19" s="134">
        <f t="shared" si="18"/>
        <v>1532</v>
      </c>
      <c r="AA19" s="134">
        <f t="shared" si="18"/>
        <v>1675</v>
      </c>
      <c r="AB19" s="134">
        <f t="shared" si="18"/>
        <v>564</v>
      </c>
      <c r="AC19" s="134">
        <f t="shared" si="18"/>
        <v>1</v>
      </c>
      <c r="AD19" s="134">
        <f t="shared" si="18"/>
        <v>169</v>
      </c>
      <c r="AE19" s="134">
        <f t="shared" si="18"/>
        <v>169</v>
      </c>
      <c r="AF19" s="134">
        <f t="shared" si="18"/>
        <v>1</v>
      </c>
      <c r="AG19" s="134">
        <f t="shared" si="18"/>
        <v>725</v>
      </c>
      <c r="AH19" s="134">
        <f t="shared" si="18"/>
        <v>1024</v>
      </c>
      <c r="AI19" s="134">
        <f t="shared" si="18"/>
        <v>1125</v>
      </c>
      <c r="AJ19" s="134">
        <f t="shared" si="18"/>
        <v>647</v>
      </c>
      <c r="AK19" s="134">
        <f t="shared" si="18"/>
        <v>5</v>
      </c>
      <c r="AL19" s="134">
        <f t="shared" si="18"/>
        <v>59</v>
      </c>
      <c r="AM19" s="134">
        <f t="shared" si="18"/>
        <v>63</v>
      </c>
      <c r="AN19" s="210">
        <f t="shared" si="18"/>
        <v>1</v>
      </c>
      <c r="AO19" s="211">
        <v>39</v>
      </c>
      <c r="AP19" s="211">
        <v>39</v>
      </c>
      <c r="AQ19" s="211">
        <v>39</v>
      </c>
      <c r="AR19" s="211">
        <v>39</v>
      </c>
      <c r="AS19" s="153">
        <f t="shared" si="18"/>
        <v>0</v>
      </c>
      <c r="AT19" s="153">
        <f t="shared" si="18"/>
        <v>0</v>
      </c>
      <c r="AU19" s="211"/>
      <c r="AV19" s="212"/>
      <c r="AW19" s="211"/>
      <c r="AX19" s="212"/>
      <c r="AY19" s="133">
        <f>SUBTOTAL(9,AY9:AY18)</f>
        <v>35134</v>
      </c>
      <c r="AZ19" s="134">
        <f>SUBTOTAL(9,AZ9:AZ18)</f>
        <v>33039</v>
      </c>
      <c r="BA19" s="134">
        <f>SUBTOTAL(9,BA9:BA18)</f>
        <v>31682</v>
      </c>
      <c r="BB19" s="134">
        <f>SUBTOTAL(9,BB9:BB18)</f>
        <v>36735</v>
      </c>
      <c r="BC19" s="135">
        <f>SUBTOTAL(9,BC9:BC18)</f>
        <v>6866</v>
      </c>
      <c r="BD19" s="213">
        <f>IF(ISNUMBER(BA19/AZ19),BA19/AZ19," - ")</f>
        <v>0.95892732830896821</v>
      </c>
      <c r="BE19" s="210">
        <f>IF(ISNUMBER(BB19/BA19),BB19/BA19, " - ")</f>
        <v>1.159491193737769</v>
      </c>
      <c r="BF19" s="210">
        <f>IF(ISNUMBER(BC19/BA19),BC19/BA19, " - ")</f>
        <v>0.2167161164067925</v>
      </c>
      <c r="BG19" s="135">
        <f>IF(ISNUMBER((AY19+AZ19)/BA19),(AY19+AZ19)/BA19," - ")</f>
        <v>2.1517896597437032</v>
      </c>
      <c r="BH19" s="211">
        <f>SUBTOTAL(9,BH9:BH18)</f>
        <v>41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plKeU861M80D0dgRHeBLtWoPqxDDapEzqUqBXIHhXtRXNLb8Hz41meNAW2NEcwJw0AQoMZAsILxH7vfXSgZg==" saltValue="yxKfkGz5IgesqViE3qCoS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TPUECXnZzS+1IEGx18OA4PDhdFFT3iJWBsVAtL6nA2zTsy7BKucJ3geoZ0oQ0l5OFkCtQUhwP45TUFUpWAvkQ==" saltValue="44/cqCT0ZETAJ7csBweKA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MALAGA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18</v>
      </c>
      <c r="B9" s="501" t="s">
        <v>246</v>
      </c>
      <c r="C9" s="160" t="str">
        <f>Datos!A9</f>
        <v xml:space="preserve">Jdos. 1ª Instancia   </v>
      </c>
      <c r="D9" s="502"/>
      <c r="E9" s="260">
        <f>IF(ISNUMBER(Datos!AQ9),Datos!AQ9," - ")</f>
        <v>18</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1386</v>
      </c>
      <c r="O9" s="334"/>
      <c r="P9" s="334"/>
      <c r="Q9" s="226">
        <f>IF(ISNUMBER(Datos!P9),Datos!P9,0)</f>
        <v>2568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1561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433</v>
      </c>
      <c r="AI9" s="334" t="str">
        <f>IF(ISNUMBER(Datos!CD9),Datos!CD9,"-")</f>
        <v>-</v>
      </c>
      <c r="AJ9" s="334" t="str">
        <f>IF(ISNUMBER(Datos!EN9),Datos!EN9," - ")</f>
        <v xml:space="preserve"> - </v>
      </c>
      <c r="AK9" s="334"/>
      <c r="AL9" s="479"/>
      <c r="AM9" s="335">
        <f>IF(ISNUMBER(Datos!R9),Datos!R9," - ")</f>
        <v>24974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2386</v>
      </c>
      <c r="BD9" s="229">
        <f>IF(ISNUMBER(Datos!N9),Datos!N9," - ")</f>
        <v>8521</v>
      </c>
      <c r="BE9" s="229" t="str">
        <f>IF(ISNUMBER(Datos!BW9),Datos!BW9," - ")</f>
        <v xml:space="preserve"> - </v>
      </c>
      <c r="BF9" s="228" t="str">
        <f>IF(ISNUMBER(Datos!BX9),Datos!BX9," - ")</f>
        <v xml:space="preserve"> - </v>
      </c>
      <c r="BG9" s="243">
        <f>IF(ISNUMBER(IF(J_V="SI",Datos!K9/Datos!J9,(Datos!K9+Datos!AA9)/(Datos!J9+Datos!Z9))),IF(J_V="SI",Datos!K9/Datos!J9,(Datos!K9+Datos!AA9)/(Datos!J9+Datos!Z9))," - ")</f>
        <v>0.7357960248945995</v>
      </c>
      <c r="BH9" s="260">
        <f>IF(ISNUMBER(((IF(J_V="SI",Datos!L9/Datos!K9,(Datos!L9+Datos!AB9)/(Datos!K9+Datos!AA9)))*11)/factor_trimestre),((IF(J_V="SI",Datos!L9/Datos!K9,(Datos!L9+Datos!AB9)/(Datos!K9+Datos!AA9)))*11)/factor_trimestre," - ")</f>
        <v>7.0295361527967266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4.2016105478366088E-2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3</v>
      </c>
      <c r="B10" s="507" t="s">
        <v>246</v>
      </c>
      <c r="C10" s="7" t="str">
        <f>Datos!A10</f>
        <v>Jdos. Violencia contra la mujer</v>
      </c>
      <c r="D10" s="508"/>
      <c r="E10" s="260">
        <f>IF(ISNUMBER(Datos!AQ10),Datos!AQ10," - ")</f>
        <v>3</v>
      </c>
      <c r="F10" s="225">
        <f>IF(ISNUMBER(Datos!L10+Datos!K10-Datos!J10),Datos!L10+Datos!K10-Datos!J10," - ")</f>
        <v>355</v>
      </c>
      <c r="G10" s="333">
        <f>IF(ISNUMBER(Datos!I10),Datos!I10," - ")</f>
        <v>362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244</v>
      </c>
      <c r="AC10" s="226">
        <f>IF(ISNUMBER(Datos!Q10),Datos!Q10," - ")</f>
        <v>80</v>
      </c>
      <c r="AD10" s="334"/>
      <c r="AE10" s="484"/>
      <c r="AF10" s="332">
        <f>IF(ISNUMBER(Datos!L10),Datos!L10,"-")</f>
        <v>358</v>
      </c>
      <c r="AG10" s="334"/>
      <c r="AH10" s="334"/>
      <c r="AI10" s="334"/>
      <c r="AJ10" s="334"/>
      <c r="AK10" s="334"/>
      <c r="AL10" s="479"/>
      <c r="AM10" s="335">
        <f>IF(ISNUMBER(Datos!R10),Datos!R10," - ")</f>
        <v>373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69</v>
      </c>
      <c r="BD10" s="229">
        <f>IF(ISNUMBER(Datos!N10),Datos!N10," - ")</f>
        <v>144</v>
      </c>
      <c r="BE10" s="229" t="str">
        <f>IF(ISNUMBER(Datos!BW10),Datos!BW10," - ")</f>
        <v xml:space="preserve"> - </v>
      </c>
      <c r="BF10" s="228" t="str">
        <f>IF(ISNUMBER(Datos!BX10),Datos!BX10," - ")</f>
        <v xml:space="preserve"> - </v>
      </c>
      <c r="BG10" s="243">
        <f>IF(ISNUMBER(Datos!K10/Datos!J10),Datos!K10/Datos!J10," - ")</f>
        <v>0.98785425101214575</v>
      </c>
      <c r="BH10" s="260">
        <f>IF(ISNUMBER(((Datos!L10/Datos!K10)*11)/factor_trimestre),((Datos!L10/Datos!K10)*11)/factor_trimestre," - ")</f>
        <v>4.4016393442622954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-1.0610079575596816E-2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4</v>
      </c>
      <c r="B11" s="507" t="s">
        <v>246</v>
      </c>
      <c r="C11" s="7" t="str">
        <f>Datos!A11</f>
        <v xml:space="preserve">Jdos. Familia                                   </v>
      </c>
      <c r="D11" s="508"/>
      <c r="E11" s="260">
        <f>IF(ISNUMBER(Datos!AQ11),Datos!AQ11," - ")</f>
        <v>4</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146</v>
      </c>
      <c r="O11" s="334"/>
      <c r="P11" s="334"/>
      <c r="Q11" s="226">
        <f>IF(ISNUMBER(Datos!P11),Datos!P11,0)</f>
        <v>331</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263</v>
      </c>
      <c r="AD11" s="334"/>
      <c r="AE11" s="484"/>
      <c r="AF11" s="332" t="str">
        <f>IF(ISNUMBER(IF(J_V="SI",Datos!L11,Datos!L11+Datos!AB11)-IF(Monitorios="SI",Datos!CD11,0)),
                          IF(J_V="SI",Datos!L11,Datos!L11+Datos!AB11)-IF(Monitorios="SI",Datos!CD11,0),
                          " - ")</f>
        <v xml:space="preserve"> - </v>
      </c>
      <c r="AG11" s="334"/>
      <c r="AH11" s="334">
        <f>IF(ISNUMBER(Datos!AB11),Datos!AB11,"-")</f>
        <v>131</v>
      </c>
      <c r="AI11" s="334"/>
      <c r="AJ11" s="334"/>
      <c r="AK11" s="334"/>
      <c r="AL11" s="479"/>
      <c r="AM11" s="335">
        <f>IF(ISNUMBER(Datos!R11),Datos!R11," - ")</f>
        <v>2002</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642</v>
      </c>
      <c r="BD11" s="229">
        <f>IF(ISNUMBER(Datos!N11),Datos!N11," - ")</f>
        <v>426</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0.87802256851155291</v>
      </c>
      <c r="BH11" s="260">
        <f>IF(ISNUMBER(((IF(J_V="SI",Datos!L11/Datos!K11,(Datos!L11+Datos!AB11)/(Datos!K11+Datos!AA11)))*11)/factor_trimestre),((IF(J_V="SI",Datos!L11/Datos!K11,(Datos!L11+Datos!AB11)/(Datos!K11+Datos!AA11)))*11)/factor_trimestre," - ")</f>
        <v>4.7148102815177486</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3.5160289555325748E-2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25</v>
      </c>
      <c r="F13" s="898">
        <f t="shared" si="0"/>
        <v>355</v>
      </c>
      <c r="G13" s="898">
        <f t="shared" si="0"/>
        <v>362</v>
      </c>
      <c r="H13" s="899">
        <f t="shared" si="0"/>
        <v>0</v>
      </c>
      <c r="I13" s="898">
        <f t="shared" si="0"/>
        <v>0</v>
      </c>
      <c r="J13" s="867">
        <f t="shared" si="0"/>
        <v>0</v>
      </c>
      <c r="K13" s="867">
        <f t="shared" si="0"/>
        <v>0</v>
      </c>
      <c r="L13" s="899">
        <f t="shared" si="0"/>
        <v>0</v>
      </c>
      <c r="M13" s="899">
        <f t="shared" si="0"/>
        <v>0</v>
      </c>
      <c r="N13" s="899">
        <f t="shared" si="0"/>
        <v>1532</v>
      </c>
      <c r="O13" s="900">
        <f t="shared" si="0"/>
        <v>0</v>
      </c>
      <c r="P13" s="900">
        <f t="shared" si="0"/>
        <v>0</v>
      </c>
      <c r="Q13" s="899">
        <f t="shared" si="0"/>
        <v>2975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244</v>
      </c>
      <c r="AC13" s="899">
        <f t="shared" si="1"/>
        <v>1904</v>
      </c>
      <c r="AD13" s="899">
        <f t="shared" si="1"/>
        <v>0</v>
      </c>
      <c r="AE13" s="899">
        <f t="shared" si="1"/>
        <v>0</v>
      </c>
      <c r="AF13" s="899">
        <f t="shared" si="1"/>
        <v>358</v>
      </c>
      <c r="AG13" s="899">
        <f t="shared" si="1"/>
        <v>0</v>
      </c>
      <c r="AH13" s="899">
        <f t="shared" si="1"/>
        <v>564</v>
      </c>
      <c r="AI13" s="899">
        <f t="shared" si="1"/>
        <v>0</v>
      </c>
      <c r="AJ13" s="899">
        <f t="shared" si="1"/>
        <v>0</v>
      </c>
      <c r="AK13" s="899">
        <f t="shared" si="1"/>
        <v>0</v>
      </c>
      <c r="AL13" s="899">
        <f t="shared" si="1"/>
        <v>0</v>
      </c>
      <c r="AM13" s="899">
        <f t="shared" si="1"/>
        <v>27349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3097</v>
      </c>
      <c r="BD13" s="899">
        <f t="shared" si="1"/>
        <v>9091</v>
      </c>
      <c r="BE13" s="899">
        <f t="shared" si="1"/>
        <v>0</v>
      </c>
      <c r="BF13" s="899">
        <f t="shared" si="1"/>
        <v>0</v>
      </c>
      <c r="BG13" s="899">
        <f>IF(ISNUMBER(Datos!K13/Datos!J13),Datos!K13/Datos!J13," - ")</f>
        <v>0.72502439024390242</v>
      </c>
      <c r="BH13" s="903">
        <f>IF(ISNUMBER(((Datos!L13/Datos!K13)*11)/factor_trimestre),((Datos!L13/Datos!K13)*11)/factor_trimestre," - ")</f>
        <v>7.4102805624705645</v>
      </c>
      <c r="BI13" s="899">
        <f>IF(ISNUMBER('Resol  Asuntos'!D13/NºAsuntos!G13),'Resol  Asuntos'!D13/NºAsuntos!G13," - ")</f>
        <v>0.18726569113556657</v>
      </c>
      <c r="BJ13" s="899" t="str">
        <f>IF(ISNUMBER(Datos!CI13/Datos!CJ13),Datos!CI13/Datos!CJ13," - ")</f>
        <v xml:space="preserve"> - </v>
      </c>
      <c r="BK13" s="899">
        <f>SUBTOTAL(9,BK8:BK12)</f>
        <v>0</v>
      </c>
      <c r="BL13" s="899">
        <f>IF(ISNUMBER((I13-AB13+L13)/(F13)),(I13-AB13+L13)/(F13)," - ")</f>
        <v>-0.6873239436619718</v>
      </c>
      <c r="BM13" s="904">
        <f>SUBTOTAL(9,BM9:BM12)</f>
        <v>6.6566315458095021E-2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14</v>
      </c>
      <c r="B15" s="594" t="s">
        <v>396</v>
      </c>
      <c r="C15" s="600" t="str">
        <f>Datos!A15</f>
        <v xml:space="preserve">Jdos. Instrucción                               </v>
      </c>
      <c r="D15" s="601"/>
      <c r="E15" s="1165">
        <f>IF(ISNUMBER(Datos!AQ15),Datos!AQ15," - ")</f>
        <v>14</v>
      </c>
      <c r="F15" s="595">
        <f>IF(ISNUMBER(AF15+AB15-Datos!J15-L15),AF15+AB15-Datos!J15-L15," - ")</f>
        <v>8000</v>
      </c>
      <c r="G15" s="598">
        <f>IF(ISNUMBER(IF(D_I="SI",Datos!I15,Datos!I15+Datos!AC15)),IF(D_I="SI",Datos!I15,Datos!I15+Datos!AC15)," - ")</f>
        <v>8050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685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20709</v>
      </c>
      <c r="AC15" s="226">
        <f>IF(ISNUMBER(Datos!Q15),Datos!Q15," - ")</f>
        <v>664</v>
      </c>
      <c r="AD15" s="334"/>
      <c r="AE15" s="484"/>
      <c r="AF15" s="596">
        <f>IF(ISNUMBER(IF(D_I="SI",Datos!L15,Datos!L15+Datos!AF15)),IF(D_I="SI",Datos!L15,Datos!L15+Datos!AF15)," - ")</f>
        <v>8227</v>
      </c>
      <c r="AG15" s="334"/>
      <c r="AH15" s="334"/>
      <c r="AI15" s="334"/>
      <c r="AJ15" s="334"/>
      <c r="AK15" s="334"/>
      <c r="AL15" s="479"/>
      <c r="AM15" s="335">
        <f>IF(ISNUMBER(Datos!R15),Datos!R15," - ")</f>
        <v>1196</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1647</v>
      </c>
      <c r="BD15" s="229">
        <f>IF(ISNUMBER(Datos!N15),Datos!N15," - ")</f>
        <v>14952</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0.98915743217424534</v>
      </c>
      <c r="BH15" s="260">
        <f>IF(ISNUMBER(((IF(D_I="SI",Datos!L15/Datos!K15,(Datos!L15+Datos!AF15)/(Datos!K15+Datos!AE15)))*11)/factor_trimestre),((IF(D_I="SI",Datos!L15/Datos!K15,(Datos!L15+Datos!AF15)/(Datos!K15+Datos!AE15)))*11)/factor_trimestre," - ")</f>
        <v>1.1918006663769376</v>
      </c>
      <c r="BI15" s="243">
        <f>IF(ISNUMBER('Resol  Asuntos'!D15/NºAsuntos!G15),'Resol  Asuntos'!D15/NºAsuntos!G15," - ")</f>
        <v>7.9530638852672753E-2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3</v>
      </c>
      <c r="B17" s="507" t="s">
        <v>396</v>
      </c>
      <c r="C17" s="7" t="str">
        <f>Datos!A17</f>
        <v>Jdos. Violencia contra la mujer</v>
      </c>
      <c r="D17" s="508"/>
      <c r="E17" s="1025">
        <f>IF(ISNUMBER(Datos!AQ17),Datos!AQ17," - ")</f>
        <v>3</v>
      </c>
      <c r="F17" s="225" t="str">
        <f>IF(ISNUMBER(AF17+AB17-I17-L17),AF17+AB17-I17-L17," - ")</f>
        <v xml:space="preserve"> - </v>
      </c>
      <c r="G17" s="333">
        <f>IF(ISNUMBER(IF(D_I="SI",Datos!I17,Datos!I17+Datos!AC17)),IF(D_I="SI",Datos!I17,Datos!I17+Datos!AC17)," - ")</f>
        <v>867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1417</v>
      </c>
      <c r="AC17" s="226">
        <f>IF(ISNUMBER(Datos!Q17),Datos!Q17," - ")</f>
        <v>7</v>
      </c>
      <c r="AD17" s="334"/>
      <c r="AE17" s="484"/>
      <c r="AF17" s="332">
        <f>IF(ISNUMBER(Datos!L17),Datos!L17,"-")</f>
        <v>956</v>
      </c>
      <c r="AG17" s="334"/>
      <c r="AH17" s="334"/>
      <c r="AI17" s="334"/>
      <c r="AJ17" s="334"/>
      <c r="AK17" s="334"/>
      <c r="AL17" s="479"/>
      <c r="AM17" s="335">
        <f>IF(ISNUMBER(Datos!R17),Datos!R17," - ")</f>
        <v>14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76</v>
      </c>
      <c r="BD17" s="229">
        <f>IF(ISNUMBER(Datos!N17),Datos!N17," - ")</f>
        <v>835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0.95420875420875417</v>
      </c>
      <c r="BH17" s="260">
        <f>IF(ISNUMBER(((IF(D_I="SI",Datos!L17/Datos!K17,(Datos!L17+Datos!AF17)/(Datos!K17+Datos!AE17)))*11)/factor_trimestre),((IF(D_I="SI",Datos!L17/Datos!K17,(Datos!L17+Datos!AF17)/(Datos!K17+Datos!AE17)))*11)/factor_trimestre," - ")</f>
        <v>2.023994354269584</v>
      </c>
      <c r="BI17" s="243">
        <f>IF(ISNUMBER('Resol  Asuntos'!D17/NºAsuntos!G17),'Resol  Asuntos'!D17/NºAsuntos!G17," - ")</f>
        <v>5.3634438955539876E-2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17</v>
      </c>
      <c r="F18" s="898">
        <f>SUBTOTAL(9,F15:F17)</f>
        <v>8000</v>
      </c>
      <c r="G18" s="898">
        <f>SUBTOTAL(9,G15:G17)</f>
        <v>8917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691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22126</v>
      </c>
      <c r="AC18" s="899">
        <f t="shared" si="4"/>
        <v>671</v>
      </c>
      <c r="AD18" s="899">
        <f t="shared" si="4"/>
        <v>0</v>
      </c>
      <c r="AE18" s="899">
        <f t="shared" si="4"/>
        <v>0</v>
      </c>
      <c r="AF18" s="899">
        <f t="shared" si="4"/>
        <v>9183</v>
      </c>
      <c r="AG18" s="899">
        <f t="shared" si="4"/>
        <v>0</v>
      </c>
      <c r="AH18" s="899">
        <f t="shared" si="4"/>
        <v>0</v>
      </c>
      <c r="AI18" s="899">
        <f t="shared" si="4"/>
        <v>0</v>
      </c>
      <c r="AJ18" s="899">
        <f t="shared" si="4"/>
        <v>0</v>
      </c>
      <c r="AK18" s="899">
        <f t="shared" si="4"/>
        <v>0</v>
      </c>
      <c r="AL18" s="899">
        <f t="shared" si="4"/>
        <v>0</v>
      </c>
      <c r="AM18" s="899">
        <f t="shared" si="4"/>
        <v>1210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1723</v>
      </c>
      <c r="BD18" s="899">
        <f t="shared" si="4"/>
        <v>15787</v>
      </c>
      <c r="BE18" s="899">
        <f t="shared" si="4"/>
        <v>0</v>
      </c>
      <c r="BF18" s="899">
        <f t="shared" si="4"/>
        <v>0</v>
      </c>
      <c r="BG18" s="899">
        <f>IF(ISNUMBER(Datos!K18/Datos!J18),Datos!K18/Datos!J18," - ")</f>
        <v>0.98684269211899556</v>
      </c>
      <c r="BH18" s="903">
        <f>IF(ISNUMBER(((Datos!L18/Datos!K18)*11)/factor_trimestre),((Datos!L18/Datos!K18)*11)/factor_trimestre," - ")</f>
        <v>1.2450962668353973</v>
      </c>
      <c r="BI18" s="899">
        <f>SUBTOTAL(9,BI15:BI17)</f>
        <v>0.13316507780821263</v>
      </c>
      <c r="BJ18" s="899">
        <f>SUBTOTAL(9,BJ15:BJ17)</f>
        <v>0</v>
      </c>
      <c r="BK18" s="899">
        <f>SUBTOTAL(9,BK15:BK17)</f>
        <v>0</v>
      </c>
      <c r="BL18" s="899">
        <f>IF(ISNUMBER((I18-AB18+L18)/(F18)),(I18-AB18+L18)/(F18)," - ")</f>
        <v>-2.7657500000000002</v>
      </c>
      <c r="BM18" s="905">
        <f>IF(ISNUMBER((Datos!P18-Datos!Q18)/(Datos!R18-Datos!P18+Datos!Q18)),(Datos!P18-Datos!Q18)/(Datos!R18-Datos!P18+Datos!Q18)," - ")</f>
        <v>1.680672268907563E-2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42</v>
      </c>
      <c r="F19" s="820">
        <f t="shared" si="6"/>
        <v>8355</v>
      </c>
      <c r="G19" s="820">
        <f t="shared" si="6"/>
        <v>9279</v>
      </c>
      <c r="H19" s="822">
        <f t="shared" si="6"/>
        <v>0</v>
      </c>
      <c r="I19" s="820">
        <f t="shared" si="6"/>
        <v>0</v>
      </c>
      <c r="J19" s="822">
        <f t="shared" si="6"/>
        <v>0</v>
      </c>
      <c r="K19" s="822">
        <f t="shared" si="6"/>
        <v>0</v>
      </c>
      <c r="L19" s="881">
        <f t="shared" si="6"/>
        <v>0</v>
      </c>
      <c r="M19" s="881">
        <f t="shared" si="6"/>
        <v>0</v>
      </c>
      <c r="N19" s="881">
        <f t="shared" si="6"/>
        <v>1532</v>
      </c>
      <c r="O19" s="881">
        <f t="shared" si="6"/>
        <v>0</v>
      </c>
      <c r="P19" s="881">
        <f t="shared" si="6"/>
        <v>0</v>
      </c>
      <c r="Q19" s="822">
        <f t="shared" si="6"/>
        <v>3666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22370</v>
      </c>
      <c r="AC19" s="821">
        <f t="shared" si="7"/>
        <v>2575</v>
      </c>
      <c r="AD19" s="821">
        <f t="shared" si="7"/>
        <v>0</v>
      </c>
      <c r="AE19" s="821">
        <f t="shared" si="7"/>
        <v>0</v>
      </c>
      <c r="AF19" s="828">
        <f t="shared" si="7"/>
        <v>9541</v>
      </c>
      <c r="AG19" s="828">
        <f t="shared" si="7"/>
        <v>0</v>
      </c>
      <c r="AH19" s="828">
        <f t="shared" si="7"/>
        <v>564</v>
      </c>
      <c r="AI19" s="828">
        <f t="shared" si="7"/>
        <v>0</v>
      </c>
      <c r="AJ19" s="821">
        <f t="shared" si="7"/>
        <v>0</v>
      </c>
      <c r="AK19" s="828">
        <f t="shared" si="7"/>
        <v>0</v>
      </c>
      <c r="AL19" s="828">
        <f t="shared" si="7"/>
        <v>0</v>
      </c>
      <c r="AM19" s="828">
        <f t="shared" si="7"/>
        <v>28559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4820</v>
      </c>
      <c r="BD19" s="820">
        <f t="shared" si="7"/>
        <v>24878</v>
      </c>
      <c r="BE19" s="820">
        <f t="shared" si="7"/>
        <v>0</v>
      </c>
      <c r="BF19" s="830">
        <f t="shared" si="7"/>
        <v>0</v>
      </c>
      <c r="BG19" s="915">
        <f>IF(ISNUMBER(Datos!K19/Datos!J19),Datos!K19/Datos!J19," - ")</f>
        <v>0.86179259569907507</v>
      </c>
      <c r="BH19" s="915">
        <f>IF(ISNUMBER(((Datos!L19/Datos!K19)*11)/factor_trimestre),((Datos!L19/Datos!K19)*11)/factor_trimestre," - ")</f>
        <v>3.7224039579334396</v>
      </c>
      <c r="BI19" s="813">
        <f>IF(ISNUMBER(Datos!J19/Datos!I19),Datos!J19/Datos!I19," - ")</f>
        <v>1.0752830944984468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-2.6774386594853383</v>
      </c>
      <c r="BM19" s="889">
        <f>IF(ISNUMBER((Datos!P19-Datos!Q19+R19)/(Datos!R19-Datos!P19+Datos!Q19-R19)),(Datos!P19-Datos!Q19+R19)/(Datos!R19-Datos!P19+Datos!Q19-R19)," - ")</f>
        <v>3.9718945682248437E-2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3711.6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9.2466210044534645</v>
      </c>
      <c r="F21" s="551">
        <f>IF(ISNUMBER(STDEV(F8:F18)),STDEV(F8:F18),"-")</f>
        <v>4413.8428079546884</v>
      </c>
      <c r="G21" s="552">
        <f>IF(ISNUMBER(STDEV(G8:G18)),STDEV(G8:G18),"-")</f>
        <v>4371.7643234739908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11404.122039859096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1162.8117400753843</v>
      </c>
      <c r="BD21" s="551"/>
      <c r="BE21" s="551">
        <f>IF(ISNUMBER(STDEV(BE8:BE18)),STDEV(BE8:BE18),"-")</f>
        <v>0</v>
      </c>
      <c r="BF21" s="556">
        <f>IF(ISNUMBER(STDEV(BF8:BF18)),STDEV(BF8:BF18),"-")</f>
        <v>0</v>
      </c>
      <c r="BG21" s="775">
        <f>IF(ISNUMBER(STDEV(BG8:BG18)),STDEV(BG8:BG18),"-")</f>
        <v>0.11828269717198821</v>
      </c>
      <c r="BH21" s="776">
        <f>IF(ISNUMBER(STDEV(BH8:BH18)),STDEV(BH8:BH18),"-")</f>
        <v>2.6096106047558614</v>
      </c>
      <c r="BI21" s="249">
        <f>IF(ISNUMBER(STDEV(BI8:BI18)),STDEV(BI8:BI18),"-")</f>
        <v>5.9346031978766763E-2</v>
      </c>
      <c r="BJ21" s="230" t="str">
        <f>IF(ISNUMBER(BL21/BM21),BL21/BM21," - ")</f>
        <v xml:space="preserve"> - </v>
      </c>
      <c r="BK21" s="575"/>
      <c r="BL21" s="559">
        <f>IF(ISNUMBER(STDEV(BL8:BL18)),STDEV(BL8:BL18),"-")</f>
        <v>1.469669158631433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BcdFDNreo2TmW+cS7scn7yXePOXrUcUrbnGaQhqv9gJb5gDrGL6LSWjJ4jqfmqwhWqXVpqZHt8wUsRWK1X6k+g==" saltValue="sFj4fyfdBIzBfU0Uyk2gC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MALAGA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18</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2568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1561</v>
      </c>
      <c r="AA9" s="332" t="str">
        <f>IF(ISNUMBER(IF(J_V="SI",Datos!L9,Datos!L9+Datos!AB9)-IF(Monitorios="SI",Datos!CD9,0)),
                          IF(J_V="SI",Datos!L9,Datos!L9+Datos!AB9)-IF(Monitorios="SI",Datos!CD9,0),
                          " - ")</f>
        <v xml:space="preserve"> - </v>
      </c>
      <c r="AB9" s="334"/>
      <c r="AC9" s="334"/>
      <c r="AD9" s="484"/>
      <c r="AE9" s="484">
        <f>IF(ISNUMBER(Datos!R9),Datos!R9," - ")</f>
        <v>24974</v>
      </c>
      <c r="AF9" s="229" t="str">
        <f>IF(ISNUMBER(Datos!BV9),Datos!BV9," - ")</f>
        <v xml:space="preserve"> - </v>
      </c>
      <c r="AG9" s="225" t="str">
        <f>IF(ISNUMBER(Datos!DV9),Datos!DV9," - ")</f>
        <v xml:space="preserve"> - </v>
      </c>
      <c r="AH9" s="298"/>
      <c r="AI9" s="227"/>
      <c r="AJ9" s="225">
        <f>IF(ISNUMBER(Datos!M9),Datos!M9," - ")</f>
        <v>2386</v>
      </c>
      <c r="AK9" s="229">
        <f>IF(ISNUMBER(Datos!N9),Datos!N9," - ")</f>
        <v>8521</v>
      </c>
      <c r="AL9" s="229" t="str">
        <f>IF(ISNUMBER(Datos!BW9),Datos!BW9," - ")</f>
        <v xml:space="preserve"> - </v>
      </c>
      <c r="AM9" s="228" t="str">
        <f>IF(ISNUMBER(Datos!BX9),Datos!BX9," - ")</f>
        <v xml:space="preserve"> - </v>
      </c>
      <c r="AN9" s="243"/>
      <c r="AO9" s="260">
        <f>IF(ISNUMBER(((NºAsuntos!I9/NºAsuntos!G9)*11)/factor_trimestre),((NºAsuntos!I9/NºAsuntos!G9)*11)/factor_trimestre," - ")</f>
        <v>7.0295361527967266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4.2016105478366088E-2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3</v>
      </c>
      <c r="B10" s="507" t="s">
        <v>246</v>
      </c>
      <c r="C10" s="7" t="str">
        <f>Datos!A10</f>
        <v>Jdos. Violencia contra la mujer</v>
      </c>
      <c r="D10" s="508"/>
      <c r="E10" s="1168">
        <f>IF(ISNUMBER(Datos!AQ10),Datos!AQ10," - ")</f>
        <v>3</v>
      </c>
      <c r="F10" s="225">
        <f>IF(ISNUMBER(Datos!L10+Datos!K10-Datos!J10),Datos!L10+Datos!K10-Datos!J10," - ")</f>
        <v>355</v>
      </c>
      <c r="G10" s="225">
        <f>IF(ISNUMBER(Datos!I10),Datos!I10," - ")</f>
        <v>362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244</v>
      </c>
      <c r="Z10" s="619">
        <f>IF(ISNUMBER(Datos!Q10),Datos!Q10," - ")</f>
        <v>80</v>
      </c>
      <c r="AA10" s="332">
        <f>IF(ISNUMBER(Datos!L10),Datos!L10,"-")</f>
        <v>358</v>
      </c>
      <c r="AB10" s="334"/>
      <c r="AC10" s="334"/>
      <c r="AD10" s="484"/>
      <c r="AE10" s="484">
        <f>IF(ISNUMBER(Datos!R10),Datos!R10," - ")</f>
        <v>373</v>
      </c>
      <c r="AF10" s="229" t="str">
        <f>IF(ISNUMBER(Datos!BV10),Datos!BV10," - ")</f>
        <v xml:space="preserve"> - </v>
      </c>
      <c r="AG10" s="225" t="str">
        <f>IF(ISNUMBER(Datos!DV10),Datos!DV10," - ")</f>
        <v xml:space="preserve"> - </v>
      </c>
      <c r="AH10" s="298"/>
      <c r="AI10" s="227"/>
      <c r="AJ10" s="225">
        <f>IF(ISNUMBER(Datos!M10),Datos!M10," - ")</f>
        <v>69</v>
      </c>
      <c r="AK10" s="229">
        <f>IF(ISNUMBER(Datos!N10),Datos!N10," - ")</f>
        <v>144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4.4016393442622954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-1.0610079575596816E-2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4</v>
      </c>
      <c r="B11" s="507" t="s">
        <v>246</v>
      </c>
      <c r="C11" s="7" t="str">
        <f>Datos!A11</f>
        <v xml:space="preserve">Jdos. Familia                                   </v>
      </c>
      <c r="D11" s="508"/>
      <c r="E11" s="1168">
        <f>IF(ISNUMBER(Datos!AQ11),Datos!AQ11," - ")</f>
        <v>4</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331</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263</v>
      </c>
      <c r="AA11" s="332" t="str">
        <f>IF(ISNUMBER(IF(J_V="SI",Datos!L11,Datos!L11+Datos!AB11)-IF(Monitorios="SI",Datos!CD11,0)),
                          IF(J_V="SI",Datos!L11,Datos!L11+Datos!AB11)-IF(Monitorios="SI",Datos!CD11,0),
                          " - ")</f>
        <v xml:space="preserve"> - </v>
      </c>
      <c r="AB11" s="334"/>
      <c r="AC11" s="334"/>
      <c r="AD11" s="484"/>
      <c r="AE11" s="484">
        <f>IF(ISNUMBER(Datos!R11),Datos!R11," - ")</f>
        <v>2002</v>
      </c>
      <c r="AF11" s="229" t="str">
        <f>IF(ISNUMBER(Datos!BV11),Datos!BV11," - ")</f>
        <v xml:space="preserve"> - </v>
      </c>
      <c r="AG11" s="225" t="str">
        <f>IF(ISNUMBER(Datos!DV11),Datos!DV11," - ")</f>
        <v xml:space="preserve"> - </v>
      </c>
      <c r="AH11" s="298"/>
      <c r="AI11" s="227"/>
      <c r="AJ11" s="225">
        <f>IF(ISNUMBER(Datos!M11),Datos!M11," - ")</f>
        <v>642</v>
      </c>
      <c r="AK11" s="229">
        <f>IF(ISNUMBER(Datos!N11),Datos!N11," - ")</f>
        <v>426</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4.7148102815177486</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3.5160289555325748E-2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25</v>
      </c>
      <c r="F13" s="898">
        <f>SUBTOTAL(9,F8:F12)</f>
        <v>355</v>
      </c>
      <c r="G13" s="898">
        <f>SUBTOTAL(9,G8:G12)</f>
        <v>362</v>
      </c>
      <c r="H13" s="908"/>
      <c r="I13" s="898">
        <f t="shared" ref="I13:N13" si="0">SUBTOTAL(9,I8:I12)</f>
        <v>0</v>
      </c>
      <c r="J13" s="867">
        <f t="shared" si="0"/>
        <v>0</v>
      </c>
      <c r="K13" s="908">
        <f t="shared" si="0"/>
        <v>0</v>
      </c>
      <c r="L13" s="908">
        <f t="shared" si="0"/>
        <v>0</v>
      </c>
      <c r="M13" s="908">
        <f t="shared" si="0"/>
        <v>0</v>
      </c>
      <c r="N13" s="908">
        <f t="shared" si="0"/>
        <v>2975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244</v>
      </c>
      <c r="Z13" s="907">
        <f t="shared" si="2"/>
        <v>1904</v>
      </c>
      <c r="AA13" s="900">
        <f t="shared" si="2"/>
        <v>358</v>
      </c>
      <c r="AB13" s="900">
        <f t="shared" si="2"/>
        <v>0</v>
      </c>
      <c r="AC13" s="900">
        <f t="shared" si="2"/>
        <v>0</v>
      </c>
      <c r="AD13" s="900">
        <f t="shared" si="2"/>
        <v>0</v>
      </c>
      <c r="AE13" s="900">
        <f t="shared" si="2"/>
        <v>27349</v>
      </c>
      <c r="AF13" s="908">
        <f t="shared" si="2"/>
        <v>0</v>
      </c>
      <c r="AG13" s="908">
        <f t="shared" si="2"/>
        <v>0</v>
      </c>
      <c r="AH13" s="908">
        <f t="shared" si="2"/>
        <v>0</v>
      </c>
      <c r="AI13" s="908">
        <f t="shared" si="2"/>
        <v>0</v>
      </c>
      <c r="AJ13" s="908">
        <f t="shared" si="2"/>
        <v>3097</v>
      </c>
      <c r="AK13" s="908">
        <f t="shared" si="2"/>
        <v>9091</v>
      </c>
      <c r="AL13" s="908">
        <f t="shared" si="2"/>
        <v>0</v>
      </c>
      <c r="AM13" s="908">
        <f t="shared" si="2"/>
        <v>0</v>
      </c>
      <c r="AN13" s="908">
        <f t="shared" si="2"/>
        <v>0</v>
      </c>
      <c r="AO13" s="904">
        <f>IF(ISNUMBER(((NºAsuntos!I13/NºAsuntos!G13)*11)/factor_trimestre),((NºAsuntos!I13/NºAsuntos!G13)*11)/factor_trimestre," - ")</f>
        <v>6.7620631273430893</v>
      </c>
      <c r="AP13" s="910" t="str">
        <f>IF(ISNUMBER(Datos!CI13/Datos!CJ13),Datos!CI13/Datos!CJ13," - ")</f>
        <v xml:space="preserve"> - </v>
      </c>
      <c r="AQ13" s="928">
        <f t="shared" ref="AQ13:AV13" si="3">SUBTOTAL(9,AQ9:AQ12)</f>
        <v>0</v>
      </c>
      <c r="AR13" s="928">
        <f t="shared" si="3"/>
        <v>6.6566315458095021E-2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14</v>
      </c>
      <c r="B15" s="507" t="s">
        <v>396</v>
      </c>
      <c r="C15" s="160" t="str">
        <f>Datos!A15</f>
        <v xml:space="preserve">Jdos. Instrucción                               </v>
      </c>
      <c r="D15" s="502"/>
      <c r="E15" s="1168">
        <f>IF(ISNUMBER(Datos!AQ15),Datos!AQ15," - ")</f>
        <v>14</v>
      </c>
      <c r="F15" s="333">
        <f>IF(ISNUMBER(AA15+Y15-Datos!J15-K15),AA15+Y15-Datos!J15-K15," - ")</f>
        <v>8000</v>
      </c>
      <c r="G15" s="225">
        <f>IF(ISNUMBER(IF(D_I="SI",Datos!I15,Datos!I15+Datos!AC15)),IF(D_I="SI",Datos!I15,Datos!I15+Datos!AC15)," - ")</f>
        <v>8050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685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20709</v>
      </c>
      <c r="Z15" s="619">
        <f>IF(ISNUMBER(Datos!Q15),Datos!Q15," - ")</f>
        <v>664</v>
      </c>
      <c r="AA15" s="332">
        <f>IF(ISNUMBER(IF(D_I="SI",Datos!L15,Datos!L15+Datos!AF15)),IF(D_I="SI",Datos!L15,Datos!L15+Datos!AF15)," - ")</f>
        <v>8227</v>
      </c>
      <c r="AB15" s="334"/>
      <c r="AC15" s="334"/>
      <c r="AD15" s="484"/>
      <c r="AE15" s="484">
        <f>IF(ISNUMBER(Datos!R15),Datos!R15," - ")</f>
        <v>1196</v>
      </c>
      <c r="AF15" s="229" t="str">
        <f>IF(ISNUMBER(Datos!BV15),Datos!BV15," - ")</f>
        <v xml:space="preserve"> - </v>
      </c>
      <c r="AG15" s="225"/>
      <c r="AH15" s="298"/>
      <c r="AI15" s="227"/>
      <c r="AJ15" s="225">
        <f>IF(ISNUMBER(Datos!M15),Datos!M15," - ")</f>
        <v>1647</v>
      </c>
      <c r="AK15" s="229">
        <f>IF(ISNUMBER(Datos!N15),Datos!N15," - ")</f>
        <v>14952</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1.1918006663769376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3</v>
      </c>
      <c r="B17" s="507" t="s">
        <v>396</v>
      </c>
      <c r="C17" s="7" t="str">
        <f>Datos!A17</f>
        <v>Jdos. Violencia contra la mujer</v>
      </c>
      <c r="D17" s="508"/>
      <c r="E17" s="1168">
        <f>IF(ISNUMBER(Datos!AQ17),Datos!AQ17," - ")</f>
        <v>3</v>
      </c>
      <c r="F17" s="225" t="str">
        <f>IF(ISNUMBER(AA17+Y17-I17-K17),AA17+Y17-I17-K17," - ")</f>
        <v xml:space="preserve"> - </v>
      </c>
      <c r="G17" s="523">
        <f>IF(ISNUMBER(IF(D_I="SI",Datos!I17,Datos!I17+Datos!AC17)),IF(D_I="SI",Datos!I17,Datos!I17+Datos!AC17)," - ")</f>
        <v>867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1417</v>
      </c>
      <c r="Z17" s="619">
        <f>IF(ISNUMBER(Datos!Q17),Datos!Q17," - ")</f>
        <v>7</v>
      </c>
      <c r="AA17" s="332">
        <f>IF(ISNUMBER(Datos!L17),Datos!L17,"-")</f>
        <v>956</v>
      </c>
      <c r="AB17" s="334"/>
      <c r="AC17" s="334"/>
      <c r="AD17" s="484"/>
      <c r="AE17" s="484">
        <f>IF(ISNUMBER(Datos!R17),Datos!R17," - ")</f>
        <v>14</v>
      </c>
      <c r="AF17" s="229" t="str">
        <f>IF(ISNUMBER(Datos!BV17),Datos!BV17," - ")</f>
        <v xml:space="preserve"> - </v>
      </c>
      <c r="AG17" s="225" t="str">
        <f>IF(ISNUMBER(Datos!DV17),Datos!DV17," - ")</f>
        <v xml:space="preserve"> - </v>
      </c>
      <c r="AH17" s="298"/>
      <c r="AI17" s="227"/>
      <c r="AJ17" s="225">
        <f>IF(ISNUMBER(Datos!M17),Datos!M17," - ")</f>
        <v>76</v>
      </c>
      <c r="AK17" s="229">
        <f>IF(ISNUMBER(Datos!N17),Datos!N17," - ")</f>
        <v>835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2.023994354269584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17</v>
      </c>
      <c r="F18" s="898">
        <f>SUBTOTAL(9,F15:F17)</f>
        <v>8000</v>
      </c>
      <c r="G18" s="898">
        <f>SUBTOTAL(9,G15:G17)</f>
        <v>8917</v>
      </c>
      <c r="H18" s="932">
        <f>SUBTOTAL(9,H15:H17)</f>
        <v>0</v>
      </c>
      <c r="I18" s="911">
        <f>SUBTOTAL(9,I15:I17)</f>
        <v>0</v>
      </c>
      <c r="J18" s="867">
        <f>SUBTOTAL(9,J14:J17)</f>
        <v>0</v>
      </c>
      <c r="K18" s="932">
        <f t="shared" ref="K18:S18" si="4">SUBTOTAL(9,K15:K17)</f>
        <v>0</v>
      </c>
      <c r="L18" s="932">
        <f t="shared" si="4"/>
        <v>0</v>
      </c>
      <c r="M18" s="932">
        <f t="shared" si="4"/>
        <v>0</v>
      </c>
      <c r="N18" s="932">
        <f t="shared" si="4"/>
        <v>691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22126</v>
      </c>
      <c r="Z18" s="932">
        <f t="shared" si="5"/>
        <v>671</v>
      </c>
      <c r="AA18" s="932">
        <f t="shared" si="5"/>
        <v>9183</v>
      </c>
      <c r="AB18" s="932">
        <f t="shared" si="5"/>
        <v>0</v>
      </c>
      <c r="AC18" s="932">
        <f t="shared" si="5"/>
        <v>0</v>
      </c>
      <c r="AD18" s="932">
        <f t="shared" si="5"/>
        <v>0</v>
      </c>
      <c r="AE18" s="932">
        <f t="shared" si="5"/>
        <v>1210</v>
      </c>
      <c r="AF18" s="932">
        <f t="shared" si="5"/>
        <v>0</v>
      </c>
      <c r="AG18" s="932">
        <f t="shared" si="5"/>
        <v>0</v>
      </c>
      <c r="AH18" s="932">
        <f t="shared" si="5"/>
        <v>0</v>
      </c>
      <c r="AI18" s="932">
        <f t="shared" si="5"/>
        <v>0</v>
      </c>
      <c r="AJ18" s="932">
        <f t="shared" si="5"/>
        <v>1723</v>
      </c>
      <c r="AK18" s="932">
        <f t="shared" si="5"/>
        <v>15787</v>
      </c>
      <c r="AL18" s="932">
        <f t="shared" si="5"/>
        <v>0</v>
      </c>
      <c r="AM18" s="932">
        <f t="shared" si="5"/>
        <v>0</v>
      </c>
      <c r="AN18" s="932">
        <f t="shared" si="5"/>
        <v>0</v>
      </c>
      <c r="AO18" s="934">
        <f>IF(ISNUMBER(((NºAsuntos!I18/NºAsuntos!G18)*11)/factor_trimestre),((NºAsuntos!I18/NºAsuntos!G18)*11)/factor_trimestre," - ")</f>
        <v>1.2450962668353973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42</v>
      </c>
      <c r="F19" s="820">
        <f t="shared" si="7"/>
        <v>8355</v>
      </c>
      <c r="G19" s="820">
        <f t="shared" si="7"/>
        <v>9279</v>
      </c>
      <c r="H19" s="821">
        <f t="shared" si="7"/>
        <v>0</v>
      </c>
      <c r="I19" s="820">
        <f t="shared" si="7"/>
        <v>0</v>
      </c>
      <c r="J19" s="822">
        <f t="shared" si="7"/>
        <v>0</v>
      </c>
      <c r="K19" s="820">
        <f t="shared" si="7"/>
        <v>0</v>
      </c>
      <c r="L19" s="823">
        <f t="shared" si="7"/>
        <v>0</v>
      </c>
      <c r="M19" s="820">
        <f t="shared" si="7"/>
        <v>0</v>
      </c>
      <c r="N19" s="821">
        <f t="shared" si="7"/>
        <v>3666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22370</v>
      </c>
      <c r="Z19" s="827">
        <f t="shared" si="8"/>
        <v>2575</v>
      </c>
      <c r="AA19" s="828">
        <f t="shared" si="8"/>
        <v>9541</v>
      </c>
      <c r="AB19" s="828">
        <f t="shared" si="8"/>
        <v>0</v>
      </c>
      <c r="AC19" s="828">
        <f t="shared" si="8"/>
        <v>0</v>
      </c>
      <c r="AD19" s="829">
        <f t="shared" si="8"/>
        <v>0</v>
      </c>
      <c r="AE19" s="829">
        <f t="shared" si="8"/>
        <v>28559</v>
      </c>
      <c r="AF19" s="830">
        <f t="shared" si="8"/>
        <v>0</v>
      </c>
      <c r="AG19" s="831">
        <f t="shared" si="8"/>
        <v>0</v>
      </c>
      <c r="AH19" s="832">
        <f t="shared" si="8"/>
        <v>0</v>
      </c>
      <c r="AI19" s="830">
        <f t="shared" si="8"/>
        <v>0</v>
      </c>
      <c r="AJ19" s="820">
        <f t="shared" si="8"/>
        <v>4820</v>
      </c>
      <c r="AK19" s="820">
        <f t="shared" si="8"/>
        <v>24878</v>
      </c>
      <c r="AL19" s="820">
        <f t="shared" si="8"/>
        <v>0</v>
      </c>
      <c r="AM19" s="833">
        <f t="shared" si="8"/>
        <v>0</v>
      </c>
      <c r="AN19" s="823">
        <f>IF(ISNUMBER(Datos!K19/Datos!J19),Datos!K19/Datos!J19," - ")</f>
        <v>0.86179259569907507</v>
      </c>
      <c r="AO19" s="823">
        <f>IF(ISNUMBER(FIND("06",Criterios!A8,1)),(IF(ISNUMBER(((Datos!R19/Datos!Q19)*11)/factor_trimestre),((Datos!R19/Datos!Q19)*11)/factor_trimestre," - ")),(IF(ISNUMBER(((Datos!L19/Datos!K19)*11)/factor_trimestre),((Datos!L19/Datos!K19)*11)/factor_trimestre," - ")))</f>
        <v>3.7224039579334396</v>
      </c>
      <c r="AP19" s="834" t="str">
        <f>IF(ISNUMBER(Datos!CI19/Datos!CJ19),Datos!CI19/Datos!CJ19," - ")</f>
        <v xml:space="preserve"> - </v>
      </c>
      <c r="AQ19" s="834">
        <f>IF(OR(ISNUMBER(FIND("01",Criterios!A8,1)),ISNUMBER(FIND("02",Criterios!A8,1)),ISNUMBER(FIND("03",Criterios!A8,1)),ISNUMBER(FIND("04",Criterios!A8,1))),(J19-Y19+K19)/(F19-K19),(I19-Y19+K19)/(F19-K19))</f>
        <v>-2.6774386594853383</v>
      </c>
      <c r="AR19" s="834">
        <f>IF(ISNUMBER((Datos!P19-Datos!Q19+O19)/(Datos!R19-Datos!P19+Datos!Q19-O19)),(Datos!P19-Datos!Q19+O19)/(Datos!R19-Datos!P19+Datos!Q19-O19)," - ")</f>
        <v>3.9718945682248437E-2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3711.6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4413.8428079546884</v>
      </c>
      <c r="G21" s="552">
        <f>IF(ISNUMBER(STDEV(G8:G18)),STDEV(G8:G18),"-")</f>
        <v>4371.7643234739908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1162.8117400753843</v>
      </c>
      <c r="AK21" s="252"/>
      <c r="AL21" s="252">
        <f>IF(ISNUMBER(STDEV(AL8:AL18)),STDEV(AL8:AL18),"-")</f>
        <v>0</v>
      </c>
      <c r="AM21" s="254">
        <f>IF(ISNUMBER(STDEV(AM8:AM18)),STDEV(AM8:AM18),"-")</f>
        <v>0</v>
      </c>
      <c r="AN21" s="539">
        <f>IF(ISNUMBER(STDEV(AN8:AN18)),STDEV(AN8:AN18),"-")</f>
        <v>0</v>
      </c>
      <c r="AO21" s="540">
        <f>IF(ISNUMBER(STDEV(AO8:AO18)),STDEV(AO8:AO18),"-")</f>
        <v>2.4766420608232824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xuqBBzNsd6W4laWYlrMz1X0mD4Qf5s6kQhHxlEbjXeF4Qqws7ChM2A0JMVhjGHDSE6MB0PPH7j47LJ6H14BWNw==" saltValue="ssUCx1MQfwrErtPnS4xIG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V8kuVp7L+MB8S+3k3f3Xg9asZvnHjTM6hdxcEQLPCyhwRdTM4c0z9WoagXC+fvJgxqb9xO5i2+Tk1M8IFJBSg==" saltValue="c2epx/apDweEBz0wRGaxk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Fm4IJFl8KKVnsmN8o4sn9fZlt8Cr+ESTX2vrbdZXzpBmLOIxJMUXDPudwp5lUpHn/YWB+Ul0NaoAksiCCTaCg==" saltValue="+i8gzwAn8yTa0ehJKHfOa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MALAGA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0.18726569113556657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0.13241684008554466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sT9nxZDVp7RR307jeCTDHdQNxGddEhScONnVdRz80GwxBMC2nQRWPv79MOrT3r5gcteUMfrEXue22t21cnX6DQ==" saltValue="VUoh8Yx3Uagd9/N5b1SWD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yRd5HMkz/mW3e1+J2Xc+lOOGMyNdcK7AD6eBJ6E6yM4Os4ShnC2Pt1r7o5aCYOTXY6wtmCmhC8dlGFFWBaffw==" saltValue="FQelR88YmZEttB0E0b40S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MALAGA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18</v>
      </c>
      <c r="C9" s="403">
        <f>IF(ISNUMBER(IF(J_V="SI",Datos!I9,Datos!I9+Datos!Y9)),IF(J_V="SI",Datos!I9,Datos!I9+Datos!Y9)," - ")</f>
        <v>29096</v>
      </c>
      <c r="D9" s="404">
        <f>IF(ISNUMBER(C9/Datos!BH9),C9/Datos!BH9," - ")</f>
        <v>1711.5294117647059</v>
      </c>
      <c r="E9" s="403">
        <f>IF(ISNUMBER(IF(J_V="SI",Datos!J9,Datos!J9+Datos!Z9)),IF(J_V="SI",Datos!J9,Datos!J9+Datos!Z9)," - ")</f>
        <v>19924</v>
      </c>
      <c r="F9" s="404">
        <f>IF(ISNUMBER(E9/B9),E9/B9," - ")</f>
        <v>1106.8888888888889</v>
      </c>
      <c r="G9" s="403">
        <f>IF(ISNUMBER(IF(J_V="SI",Datos!K9,Datos!K9+Datos!AA9)),IF(J_V="SI",Datos!K9,Datos!K9+Datos!AA9)," - ")</f>
        <v>14660</v>
      </c>
      <c r="H9" s="404">
        <f>IF(ISNUMBER(G9/B9),G9/B9," - ")</f>
        <v>814.44444444444446</v>
      </c>
      <c r="I9" s="403">
        <f>IF(ISNUMBER(IF(J_V="SI",Datos!L9,Datos!L9+Datos!AB9)),IF(J_V="SI",Datos!L9,Datos!L9+Datos!AB9)," - ")</f>
        <v>34351</v>
      </c>
      <c r="J9" s="404">
        <f>IF(ISNUMBER(I9/B9),I9/B9," - ")</f>
        <v>1908.3888888888889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3</v>
      </c>
      <c r="C10" s="403">
        <f>IF(ISNUMBER(Datos!I10),Datos!I10," - ")</f>
        <v>362</v>
      </c>
      <c r="D10" s="404">
        <f>IF(ISNUMBER(C10/Datos!BH10),C10/Datos!BH10," - ")</f>
        <v>120.66666666666667</v>
      </c>
      <c r="E10" s="403">
        <f>IF(ISNUMBER(Datos!J10),Datos!J10," - ")</f>
        <v>247</v>
      </c>
      <c r="F10" s="404">
        <f>IF(ISNUMBER(E10/B10),E10/B10," - ")</f>
        <v>82.333333333333329</v>
      </c>
      <c r="G10" s="403">
        <f>IF(ISNUMBER(Datos!K10),Datos!K10," - ")</f>
        <v>244</v>
      </c>
      <c r="H10" s="404">
        <f>IF(ISNUMBER(G10/B10),G10/B10," - ")</f>
        <v>81.333333333333329</v>
      </c>
      <c r="I10" s="403">
        <f>IF(ISNUMBER(Datos!L10),Datos!L10," - ")</f>
        <v>358</v>
      </c>
      <c r="J10" s="404">
        <f>IF(ISNUMBER(I10/B10),I10/B10," - ")</f>
        <v>119.33333333333333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4</v>
      </c>
      <c r="C11" s="403">
        <f>IF(ISNUMBER(IF(J_V="SI",Datos!I11,Datos!I11+Datos!Y11)),IF(J_V="SI",Datos!I11,Datos!I11+Datos!Y11)," - ")</f>
        <v>2226</v>
      </c>
      <c r="D11" s="404">
        <f>IF(ISNUMBER(C11/Datos!BH11),C11/Datos!BH11," - ")</f>
        <v>556.5</v>
      </c>
      <c r="E11" s="403">
        <f>IF(ISNUMBER(IF(J_V="SI",Datos!J11,Datos!J11+Datos!Z11)),IF(J_V="SI",Datos!J11,Datos!J11+Datos!Z11)," - ")</f>
        <v>1861</v>
      </c>
      <c r="F11" s="404">
        <f>IF(ISNUMBER(E11/B11),E11/B11," - ")</f>
        <v>465.25</v>
      </c>
      <c r="G11" s="403">
        <f>IF(ISNUMBER(IF(J_V="SI",Datos!K11,Datos!K11+Datos!AA11)),IF(J_V="SI",Datos!K11,Datos!K11+Datos!AA11)," - ")</f>
        <v>1634</v>
      </c>
      <c r="H11" s="404">
        <f>IF(ISNUMBER(G11/B11),G11/B11," - ")</f>
        <v>408.5</v>
      </c>
      <c r="I11" s="403">
        <f>IF(ISNUMBER(IF(J_V="SI",Datos!L11,Datos!L11+Datos!AB11)),IF(J_V="SI",Datos!L11,Datos!L11+Datos!AB11)," - ")</f>
        <v>2568</v>
      </c>
      <c r="J11" s="404">
        <f>IF(ISNUMBER(I11/B11),I11/B11," - ")</f>
        <v>642</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25</v>
      </c>
      <c r="C13" s="849">
        <f>SUBTOTAL(9,C8:C12)</f>
        <v>31684</v>
      </c>
      <c r="D13" s="850" t="str">
        <f>IF(ISNUMBER(C13/Datos!BI13),C13/Datos!BI13," - ")</f>
        <v xml:space="preserve"> - </v>
      </c>
      <c r="E13" s="849">
        <f>SUBTOTAL(9,E8:E12)</f>
        <v>22032</v>
      </c>
      <c r="F13" s="850">
        <f>IF(ISNUMBER(E13/B13),E13/B13," - ")</f>
        <v>881.28</v>
      </c>
      <c r="G13" s="849">
        <f>SUBTOTAL(9,G8:G12)</f>
        <v>16538</v>
      </c>
      <c r="H13" s="850">
        <f>IF(ISNUMBER(G13/B13),G13/B13," - ")</f>
        <v>661.52</v>
      </c>
      <c r="I13" s="849">
        <f>SUBTOTAL(9,I8:I12)</f>
        <v>37277</v>
      </c>
      <c r="J13" s="850">
        <f>IF(ISNUMBER(I13/B13),I13/B13," - ")</f>
        <v>1491.08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14</v>
      </c>
      <c r="C15" s="403">
        <f>IF(ISNUMBER(IF(D_I="SI",Datos!I15,Datos!I15+Datos!AC15)),IF(D_I="SI",Datos!I15,Datos!I15+Datos!AC15)," - ")</f>
        <v>8050</v>
      </c>
      <c r="D15" s="404">
        <f>IF(ISNUMBER(C15/Datos!BH15),C15/Datos!BH15," - ")</f>
        <v>575</v>
      </c>
      <c r="E15" s="403">
        <f>IF(ISNUMBER(IF(D_I="SI",Datos!J15,Datos!J15+Datos!AD15)),IF(D_I="SI",Datos!J15,Datos!J15+Datos!AD15)," - ")</f>
        <v>20936</v>
      </c>
      <c r="F15" s="404">
        <f>IF(ISNUMBER(E15/B15),E15/B15," - ")</f>
        <v>1495.4285714285713</v>
      </c>
      <c r="G15" s="403">
        <f>IF(ISNUMBER(IF(D_I="SI",Datos!K15,Datos!K15+Datos!AE15)),IF(D_I="SI",Datos!K15,Datos!K15+Datos!AE15)," - ")</f>
        <v>20709</v>
      </c>
      <c r="H15" s="404">
        <f>IF(ISNUMBER(G15/B15),G15/B15," - ")</f>
        <v>1479.2142857142858</v>
      </c>
      <c r="I15" s="403">
        <f>IF(ISNUMBER(IF(D_I="SI",Datos!L15,Datos!L15+Datos!AF15)),IF(D_I="SI",Datos!L15,Datos!L15+Datos!AF15)," - ")</f>
        <v>8227</v>
      </c>
      <c r="J15" s="404">
        <f>IF(ISNUMBER(I15/B15),I15/B15," - ")</f>
        <v>587.64285714285711</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3</v>
      </c>
      <c r="C17" s="403">
        <f>IF(ISNUMBER(IF(D_I="SI",Datos!I17,Datos!I17+Datos!AC17)),IF(D_I="SI",Datos!I17,Datos!I17+Datos!AC17)," - ")</f>
        <v>867</v>
      </c>
      <c r="D17" s="404">
        <f>IF(ISNUMBER(C17/Datos!BH17),C17/Datos!BH17," - ")</f>
        <v>289</v>
      </c>
      <c r="E17" s="403">
        <f>IF(ISNUMBER(IF(D_I="SI",Datos!J17,Datos!J17+Datos!AD17)),IF(D_I="SI",Datos!J17,Datos!J17+Datos!AD17)," - ")</f>
        <v>1485</v>
      </c>
      <c r="F17" s="404">
        <f>IF(ISNUMBER(E17/B17),E17/B17," - ")</f>
        <v>495</v>
      </c>
      <c r="G17" s="403">
        <f>IF(ISNUMBER(IF(D_I="SI",Datos!K17,Datos!K17+Datos!AE17)),IF(D_I="SI",Datos!K17,Datos!K17+Datos!AE17)," - ")</f>
        <v>1417</v>
      </c>
      <c r="H17" s="404">
        <f>IF(ISNUMBER(G17/B17),G17/B17," - ")</f>
        <v>472.33333333333331</v>
      </c>
      <c r="I17" s="403">
        <f>IF(ISNUMBER(IF(D_I="SI",Datos!L17,Datos!L17+Datos!AF17)),IF(D_I="SI",Datos!L17,Datos!L17+Datos!AF17)," - ")</f>
        <v>956</v>
      </c>
      <c r="J17" s="404">
        <f>IF(ISNUMBER(I17/B17),I17/B17," - ")</f>
        <v>318.66666666666669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17</v>
      </c>
      <c r="C18" s="849">
        <f>SUBTOTAL(9,C14:C17)</f>
        <v>8917</v>
      </c>
      <c r="D18" s="850" t="str">
        <f>IF(ISNUMBER(C18/Datos!BI18),C18/Datos!BI18," - ")</f>
        <v xml:space="preserve"> - </v>
      </c>
      <c r="E18" s="849">
        <f>SUBTOTAL(9,E14:E17)</f>
        <v>22421</v>
      </c>
      <c r="F18" s="850">
        <f>IF(ISNUMBER(E18/B18),E18/B18," - ")</f>
        <v>1318.8823529411766</v>
      </c>
      <c r="G18" s="849">
        <f>SUBTOTAL(9,G14:G17)</f>
        <v>22126</v>
      </c>
      <c r="H18" s="850">
        <f>IF(ISNUMBER(G18/B18),G18/B18," - ")</f>
        <v>1301.5294117647059</v>
      </c>
      <c r="I18" s="849">
        <f>SUBTOTAL(9,I14:I17)</f>
        <v>9183</v>
      </c>
      <c r="J18" s="850">
        <f>IF(ISNUMBER(I18/B18),I18/B18," - ")</f>
        <v>540.17647058823525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39</v>
      </c>
      <c r="C19" s="794">
        <f>SUBTOTAL(9,C9:C18)</f>
        <v>40601</v>
      </c>
      <c r="D19" s="795" t="str">
        <f>IF(ISNUMBER(C19/Datos!BI19),C19/Datos!BI19," - ")</f>
        <v xml:space="preserve"> - </v>
      </c>
      <c r="E19" s="794">
        <f>SUBTOTAL(9,E9:E18)</f>
        <v>44453</v>
      </c>
      <c r="F19" s="795">
        <f>IF(ISNUMBER(E19/B19),E19/B19," - ")</f>
        <v>1139.8205128205129</v>
      </c>
      <c r="G19" s="794">
        <f>SUBTOTAL(9,G9:G18)</f>
        <v>38664</v>
      </c>
      <c r="H19" s="795">
        <f>IF(ISNUMBER(G19/B19),G19/B19," - ")</f>
        <v>991.38461538461536</v>
      </c>
      <c r="I19" s="794">
        <f>SUBTOTAL(9,I9:I18)</f>
        <v>46460</v>
      </c>
      <c r="J19" s="795">
        <f>IF(ISNUMBER(I19/B19),I19/B19," - ")</f>
        <v>1191.2820512820513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4L1TPtITvL20sbEm5LuU4OA3YfNeMfqOGhxtm6GB1GXimbWWzyRY7f7fcNk9OYKW/TxdMKuU1RwTmgvEvgLgVw==" saltValue="rNdnyjBQGTt4468KFqH7T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MALAGA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18</v>
      </c>
      <c r="B9" s="501" t="s">
        <v>246</v>
      </c>
      <c r="C9" s="160" t="str">
        <f>Datos!A9</f>
        <v xml:space="preserve">Jdos. 1ª Instancia   </v>
      </c>
      <c r="D9" s="502"/>
      <c r="E9" s="682">
        <f>IF(ISNUMBER(Datos!AQ9),Datos!AQ9," - ")</f>
        <v>18</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3</v>
      </c>
      <c r="B10" s="507" t="s">
        <v>246</v>
      </c>
      <c r="C10" s="7" t="str">
        <f>Datos!A10</f>
        <v>Jdos. Violencia contra la mujer</v>
      </c>
      <c r="D10" s="508"/>
      <c r="E10" s="682">
        <f>IF(ISNUMBER(Datos!AQ10),Datos!AQ10," - ")</f>
        <v>3</v>
      </c>
      <c r="F10" s="683">
        <f>IF(ISNUMBER(Datos!L10+Datos!K10-Datos!J10),Datos!L10+Datos!K10-Datos!J10," - ")</f>
        <v>355</v>
      </c>
      <c r="G10" s="684">
        <f>IF(ISNUMBER(Datos!I10),Datos!I10," - ")</f>
        <v>362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244</v>
      </c>
      <c r="AC10" s="683" t="str">
        <f>IF(ISNUMBER(IF(D_I="SI",DatosP!K17,DatosP!K17+DatosP!AE17)),IF(D_I="SI",DatosP!K17,DatosP!K17+DatosP!AE17)," - ")</f>
        <v xml:space="preserve"> - </v>
      </c>
      <c r="AD10" s="685"/>
      <c r="AE10" s="685"/>
      <c r="AF10" s="688">
        <f>IF(ISNUMBER(Datos!L10),Datos!L10,"-")</f>
        <v>358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69</v>
      </c>
      <c r="AM10" s="690">
        <f>IF(ISNUMBER(Datos!N10+DatosP!N17),Datos!N10+DatosP!N17," - ")</f>
        <v>144</v>
      </c>
      <c r="AN10" s="690">
        <f>IF(ISNUMBER(Datos!BW10+DatosP!BW17),Datos!BW10+DatosP!BW17," - ")</f>
        <v>0</v>
      </c>
      <c r="AO10" s="691">
        <f>IF(ISNUMBER(Datos!BX10+DatosP!BX17),Datos!BX10+DatosP!BX17," - ")</f>
        <v>0</v>
      </c>
      <c r="AP10" s="693">
        <f>IF(ISNUMBER(((Datos!L10/Datos!K10)*11)/factor_trimestre),((Datos!L10/Datos!K10)*11)/factor_trimestre," - ")</f>
        <v>4.4016393442622954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4</v>
      </c>
      <c r="B11" s="507" t="s">
        <v>246</v>
      </c>
      <c r="C11" s="7" t="str">
        <f>Datos!A11</f>
        <v xml:space="preserve">Jdos. Familia                                   </v>
      </c>
      <c r="D11" s="508"/>
      <c r="E11" s="682">
        <f>IF(ISNUMBER(Datos!AQ11),Datos!AQ11," - ")</f>
        <v>4</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25</v>
      </c>
      <c r="F13" s="938">
        <f t="shared" si="0"/>
        <v>355</v>
      </c>
      <c r="G13" s="938">
        <f t="shared" si="0"/>
        <v>362</v>
      </c>
      <c r="H13" s="938">
        <f t="shared" si="0"/>
        <v>0</v>
      </c>
      <c r="I13" s="940">
        <f t="shared" si="0"/>
        <v>0</v>
      </c>
      <c r="J13" s="939">
        <f t="shared" si="0"/>
        <v>0</v>
      </c>
      <c r="K13" s="939">
        <f t="shared" si="0"/>
        <v>0</v>
      </c>
      <c r="L13" s="941">
        <f t="shared" si="0"/>
        <v>0</v>
      </c>
      <c r="M13" s="941">
        <f t="shared" si="0"/>
        <v>0</v>
      </c>
      <c r="N13" s="939">
        <f t="shared" si="0"/>
        <v>76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244</v>
      </c>
      <c r="AC13" s="939">
        <f t="shared" si="1"/>
        <v>0</v>
      </c>
      <c r="AD13" s="939">
        <f t="shared" si="1"/>
        <v>0</v>
      </c>
      <c r="AE13" s="939">
        <f t="shared" si="1"/>
        <v>0</v>
      </c>
      <c r="AF13" s="939">
        <f t="shared" si="1"/>
        <v>358</v>
      </c>
      <c r="AG13" s="939">
        <f t="shared" si="1"/>
        <v>0</v>
      </c>
      <c r="AH13" s="939">
        <f t="shared" si="1"/>
        <v>0</v>
      </c>
      <c r="AI13" s="939">
        <f t="shared" si="1"/>
        <v>0</v>
      </c>
      <c r="AJ13" s="939">
        <f t="shared" si="1"/>
        <v>0</v>
      </c>
      <c r="AK13" s="939">
        <f t="shared" si="1"/>
        <v>0</v>
      </c>
      <c r="AL13" s="939">
        <f t="shared" si="1"/>
        <v>69</v>
      </c>
      <c r="AM13" s="939">
        <f t="shared" si="1"/>
        <v>144</v>
      </c>
      <c r="AN13" s="939">
        <f t="shared" si="1"/>
        <v>0</v>
      </c>
      <c r="AO13" s="939">
        <f t="shared" si="1"/>
        <v>0</v>
      </c>
      <c r="AP13" s="944">
        <f>IF(ISNUMBER(((Datos!L13/Datos!K13)*11)/factor_trimestre),((Datos!L13/Datos!K13)*11)/factor_trimestre," - ")</f>
        <v>7.4102805624705645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-0.6873239436619718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14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3</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1.2450962668353973</v>
      </c>
      <c r="AQ18" s="944">
        <f>IF(ISNUMBER(((Datos!M18/Datos!L18)*11)/factor_trimestre),((Datos!M18/Datos!L18)*11)/factor_trimestre," - ")</f>
        <v>0.56288794511597529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1.680672268907563E-2</v>
      </c>
      <c r="AW18" s="946">
        <f>IF(ISNUMBER((Datos!Q18-Datos!R18)/(Datos!S18-Datos!Q18+Datos!R18)),(Datos!Q18-Datos!R18)/(Datos!S18-Datos!Q18+Datos!R18)," - ")</f>
        <v>-7.6978006283918876E-2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25</v>
      </c>
      <c r="F19" s="951">
        <f t="shared" si="4"/>
        <v>355</v>
      </c>
      <c r="G19" s="951">
        <f t="shared" si="4"/>
        <v>362</v>
      </c>
      <c r="H19" s="951">
        <f t="shared" si="4"/>
        <v>0</v>
      </c>
      <c r="I19" s="952">
        <f t="shared" si="4"/>
        <v>0</v>
      </c>
      <c r="J19" s="953">
        <f t="shared" si="4"/>
        <v>0</v>
      </c>
      <c r="K19" s="953">
        <f t="shared" si="4"/>
        <v>0</v>
      </c>
      <c r="L19" s="953">
        <f t="shared" si="4"/>
        <v>0</v>
      </c>
      <c r="M19" s="953">
        <f t="shared" si="4"/>
        <v>0</v>
      </c>
      <c r="N19" s="952">
        <f t="shared" si="4"/>
        <v>76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244</v>
      </c>
      <c r="AC19" s="957">
        <f t="shared" si="5"/>
        <v>0</v>
      </c>
      <c r="AD19" s="957">
        <f t="shared" si="5"/>
        <v>0</v>
      </c>
      <c r="AE19" s="957">
        <f t="shared" si="5"/>
        <v>0</v>
      </c>
      <c r="AF19" s="958">
        <f t="shared" si="5"/>
        <v>358</v>
      </c>
      <c r="AG19" s="958">
        <f t="shared" si="5"/>
        <v>0</v>
      </c>
      <c r="AH19" s="958">
        <f t="shared" si="5"/>
        <v>0</v>
      </c>
      <c r="AI19" s="958">
        <f t="shared" si="5"/>
        <v>0</v>
      </c>
      <c r="AJ19" s="959">
        <f t="shared" si="5"/>
        <v>0</v>
      </c>
      <c r="AK19" s="959">
        <f t="shared" si="5"/>
        <v>0</v>
      </c>
      <c r="AL19" s="951">
        <f t="shared" si="5"/>
        <v>69</v>
      </c>
      <c r="AM19" s="951">
        <f t="shared" si="5"/>
        <v>144</v>
      </c>
      <c r="AN19" s="951">
        <f t="shared" si="5"/>
        <v>0</v>
      </c>
      <c r="AO19" s="951">
        <f t="shared" si="5"/>
        <v>0</v>
      </c>
      <c r="AP19" s="951">
        <f>IF(ISNUMBER(((Datos!L19/Datos!K19)*11)/factor_trimestre),((Datos!L19/Datos!K19)*11)/factor_trimestre," - ")</f>
        <v>3.7224039579334396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-0.6873239436619718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3.9718945682248437E-2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241.33333333333334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10.557777543908882</v>
      </c>
      <c r="F21" s="736">
        <f>IF(ISNUMBER(STDEV(F8:F18)),STDEV(F8:F18),"-")</f>
        <v>204.95934556231714</v>
      </c>
      <c r="G21" s="737">
        <f>IF(ISNUMBER(STDEV(G8:G18)),STDEV(G8:G18),"-")</f>
        <v>209.00079744664453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140.87346568226869</v>
      </c>
      <c r="AC21" s="738">
        <f>IF(ISNUMBER(STDEV(AC8:AC18)),STDEV(AC8:AC18),"-")</f>
        <v>0</v>
      </c>
      <c r="AD21" s="741"/>
      <c r="AE21" s="741"/>
      <c r="AF21" s="741"/>
      <c r="AG21" s="741"/>
      <c r="AH21" s="741"/>
      <c r="AI21" s="741"/>
      <c r="AJ21" s="742">
        <f>IF(ISNUMBER(STDEV(AJ8:AJ18)),STDEV(AJ8:AJ18),"-")</f>
        <v>0</v>
      </c>
      <c r="AK21" s="744"/>
      <c r="AL21" s="736">
        <f>IF(ISNUMBER(STDEV(AL8:AL18)),STDEV(AL8:AL18),"-")</f>
        <v>39.837168574084181</v>
      </c>
      <c r="AM21" s="736"/>
      <c r="AN21" s="736">
        <f>IF(ISNUMBER(STDEV(AN8:AN18)),STDEV(AN8:AN18),"-")</f>
        <v>0</v>
      </c>
      <c r="AO21" s="742">
        <f>IF(ISNUMBER(STDEV(AO8:AO18)),STDEV(AO8:AO18),"-")</f>
        <v>0</v>
      </c>
      <c r="AP21" s="779">
        <f>IF(ISNUMBER(STDEV(AP8:AP18)),STDEV(AP8:AP18),"-")</f>
        <v>3.0828878122819607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NQdxBqj3gHGGSplnx/t2eqRZT2kg89SvR4793/5hnXLsdS1YzGeeMea8yJcy0Gz5YTe7XKlEZpTtIx2wcqdRDQ==" saltValue="jnfLAWtwq5nsJooOI1uG/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MALAGA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18</v>
      </c>
      <c r="D9" s="403">
        <f>Datos!BK9</f>
        <v>0</v>
      </c>
      <c r="E9" s="403">
        <f>Datos!AQ9</f>
        <v>18</v>
      </c>
      <c r="F9" s="404">
        <f>IF(ISNUMBER(E9/Datos!BH9),E9/Datos!BH9," - ")</f>
        <v>1.0588235294117647</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3</v>
      </c>
      <c r="D10" s="403">
        <f>Datos!BK10</f>
        <v>0</v>
      </c>
      <c r="E10" s="403">
        <f>Datos!AQ10</f>
        <v>3</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4</v>
      </c>
      <c r="D11" s="403">
        <f>Datos!BK11</f>
        <v>0</v>
      </c>
      <c r="E11" s="403">
        <f>Datos!AQ11</f>
        <v>4</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14</v>
      </c>
      <c r="D15" s="403">
        <f>Datos!BK15</f>
        <v>0</v>
      </c>
      <c r="E15" s="403">
        <f>Datos!AQ15</f>
        <v>14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3</v>
      </c>
      <c r="D17" s="403">
        <f>Datos!BK17</f>
        <v>0</v>
      </c>
      <c r="E17" s="403">
        <f>Datos!AQ17</f>
        <v>3</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eLgj56wtz/NfBBWQTD5bOIckdW8Tma6tf2mlgd9ggcJngKE4M2l50xcib1k6pCPgk8hnRxqMX2cDIOq/TlWsjw==" saltValue="iUwzqwx2Z7+hRxdm3NAyZ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MALAGA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18</v>
      </c>
      <c r="C9" s="410">
        <f>Datos!AQ9</f>
        <v>18</v>
      </c>
      <c r="D9" s="403">
        <f>IF(ISNUMBER(Datos!M9),Datos!M9," - ")</f>
        <v>2386</v>
      </c>
      <c r="E9" s="404">
        <f t="shared" ref="E9:E13" si="0">IF(ISNUMBER(D9/B9),D9/B9," - ")</f>
        <v>132.55555555555554</v>
      </c>
      <c r="F9" s="403">
        <f>IF(ISNUMBER(Datos!N9),Datos!N9," - ")</f>
        <v>8521</v>
      </c>
      <c r="G9" s="404">
        <f t="shared" ref="G9:G13" si="1">IF(ISNUMBER(F9/B9),F9/B9," - ")</f>
        <v>473.38888888888891</v>
      </c>
      <c r="H9" s="403">
        <f>IF(ISNUMBER(Datos!O9),Datos!O9," - ")</f>
        <v>4604</v>
      </c>
      <c r="I9" s="404">
        <f>IF(ISNUMBER(H9/B9),H9/B9," - ")</f>
        <v>255.77777777777777</v>
      </c>
      <c r="BZ9" s="1186">
        <f>Datos!EZ9</f>
        <v>0</v>
      </c>
    </row>
    <row r="10" spans="1:78">
      <c r="A10" s="402" t="str">
        <f>Datos!A10</f>
        <v>Jdos. Violencia contra la mujer</v>
      </c>
      <c r="B10" s="427">
        <f>Datos!AO10</f>
        <v>3</v>
      </c>
      <c r="C10" s="410">
        <f>Datos!AQ10</f>
        <v>3</v>
      </c>
      <c r="D10" s="403">
        <f>IF(ISNUMBER(Datos!M10),Datos!M10," - ")</f>
        <v>69</v>
      </c>
      <c r="E10" s="404">
        <f>IF(ISNUMBER(D10/B10),D10/B10," - ")</f>
        <v>23</v>
      </c>
      <c r="F10" s="403">
        <f>IF(ISNUMBER(Datos!N10),Datos!N10," - ")</f>
        <v>144</v>
      </c>
      <c r="G10" s="404">
        <f>IF(ISNUMBER(F10/B10),F10/B10," - ")</f>
        <v>48</v>
      </c>
      <c r="H10" s="403">
        <f>IF(ISNUMBER(Datos!O10),Datos!O10," - ")</f>
        <v>53</v>
      </c>
      <c r="I10" s="404">
        <f t="shared" ref="I10:I12" si="2">IF(ISNUMBER(H10/B10),H10/B10," - ")</f>
        <v>17.666666666666668</v>
      </c>
      <c r="BZ10" s="1186">
        <f>Datos!EZ10</f>
        <v>0</v>
      </c>
    </row>
    <row r="11" spans="1:78">
      <c r="A11" s="402" t="str">
        <f>Datos!A11</f>
        <v xml:space="preserve">Jdos. Familia                                   </v>
      </c>
      <c r="B11" s="427">
        <f>Datos!AO11</f>
        <v>4</v>
      </c>
      <c r="C11" s="410">
        <f>Datos!AQ11</f>
        <v>4</v>
      </c>
      <c r="D11" s="403">
        <f>IF(ISNUMBER(Datos!M11),Datos!M11," - ")</f>
        <v>642</v>
      </c>
      <c r="E11" s="404">
        <f t="shared" si="0"/>
        <v>160.5</v>
      </c>
      <c r="F11" s="403">
        <f>IF(ISNUMBER(Datos!N11),Datos!N11," - ")</f>
        <v>426</v>
      </c>
      <c r="G11" s="404">
        <f t="shared" si="1"/>
        <v>106.5</v>
      </c>
      <c r="H11" s="403">
        <f>IF(ISNUMBER(Datos!O11),Datos!O11," - ")</f>
        <v>618</v>
      </c>
      <c r="I11" s="404">
        <f t="shared" si="2"/>
        <v>154.5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25</v>
      </c>
      <c r="C13" s="851">
        <f>Datos!AR13</f>
        <v>25</v>
      </c>
      <c r="D13" s="849">
        <f>SUBTOTAL(9,D9:D12)</f>
        <v>3097</v>
      </c>
      <c r="E13" s="850">
        <f t="shared" si="0"/>
        <v>123.88</v>
      </c>
      <c r="F13" s="849">
        <f>SUBTOTAL(9,F9:F12)</f>
        <v>9091</v>
      </c>
      <c r="G13" s="850">
        <f t="shared" si="1"/>
        <v>363.64</v>
      </c>
      <c r="H13" s="849">
        <f>SUBTOTAL(9,H9:H12)</f>
        <v>5275</v>
      </c>
      <c r="I13" s="850">
        <f>IF(ISNUMBER(H13/B13),H13/B13," - ")</f>
        <v>211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14</v>
      </c>
      <c r="C15" s="428">
        <f>Datos!AQ15</f>
        <v>14</v>
      </c>
      <c r="D15" s="403">
        <f>IF(ISNUMBER(Datos!M15),Datos!M15," - ")</f>
        <v>1647</v>
      </c>
      <c r="E15" s="404">
        <f t="shared" ref="E15:E18" si="3">IF(ISNUMBER(D15/B15),D15/B15," - ")</f>
        <v>117.64285714285714</v>
      </c>
      <c r="F15" s="403">
        <f>IF(ISNUMBER(Datos!N15),Datos!N15," - ")</f>
        <v>14952</v>
      </c>
      <c r="G15" s="404">
        <f t="shared" ref="G15:G18" si="4">IF(ISNUMBER(F15/B15),F15/B15," - ")</f>
        <v>1068</v>
      </c>
      <c r="H15" s="403">
        <f>IF(ISNUMBER(Datos!O15),Datos!O15," - ")</f>
        <v>354</v>
      </c>
      <c r="I15" s="404">
        <f t="shared" ref="I15:I17" si="5">IF(ISNUMBER(H15/B15),H15/B15," - ")</f>
        <v>25.285714285714285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3</v>
      </c>
      <c r="C17" s="428">
        <f>Datos!AQ17</f>
        <v>3</v>
      </c>
      <c r="D17" s="403">
        <f>IF(ISNUMBER(Datos!M17),Datos!M17," - ")</f>
        <v>76</v>
      </c>
      <c r="E17" s="404">
        <f>IF(ISNUMBER(D17/B17),D17/B17," - ")</f>
        <v>25.333333333333332</v>
      </c>
      <c r="F17" s="403">
        <f>IF(ISNUMBER(Datos!N17),Datos!N17," - ")</f>
        <v>835</v>
      </c>
      <c r="G17" s="404">
        <f>IF(ISNUMBER(F17/B17),F17/B17," - ")</f>
        <v>278.33333333333331</v>
      </c>
      <c r="H17" s="403">
        <f>IF(ISNUMBER(Datos!O17),Datos!O17," - ")</f>
        <v>2</v>
      </c>
      <c r="I17" s="404">
        <f t="shared" si="5"/>
        <v>0.66666666666666663</v>
      </c>
      <c r="BZ17" s="1186">
        <f>Datos!EZ17</f>
        <v>0</v>
      </c>
    </row>
    <row r="18" spans="1:78" ht="14.25" thickTop="1" thickBot="1">
      <c r="A18" s="848" t="str">
        <f>Datos!A18</f>
        <v>TOTAL</v>
      </c>
      <c r="B18" s="849">
        <f>Datos!AP18</f>
        <v>17</v>
      </c>
      <c r="C18" s="851">
        <f>Datos!AR18</f>
        <v>17</v>
      </c>
      <c r="D18" s="849">
        <f>SUBTOTAL(9,D15:D17)</f>
        <v>1723</v>
      </c>
      <c r="E18" s="850">
        <f t="shared" si="3"/>
        <v>101.35294117647059</v>
      </c>
      <c r="F18" s="849">
        <f>SUBTOTAL(9,F15:F17)</f>
        <v>15787</v>
      </c>
      <c r="G18" s="850">
        <f t="shared" si="4"/>
        <v>928.64705882352939</v>
      </c>
      <c r="H18" s="849">
        <f>SUBTOTAL(9,H15:H17)</f>
        <v>356</v>
      </c>
      <c r="I18" s="850">
        <f>IF(ISNUMBER(H18/B18),H18/B18," - ")</f>
        <v>20.941176470588236</v>
      </c>
      <c r="BZ18" s="1186"/>
    </row>
    <row r="19" spans="1:78" ht="14.25" thickTop="1" thickBot="1">
      <c r="A19" s="793" t="str">
        <f>Datos!A19</f>
        <v>TOTAL JURISDICCIONES</v>
      </c>
      <c r="B19" s="794">
        <f>Datos!AP19</f>
        <v>39</v>
      </c>
      <c r="C19" s="794">
        <f>Datos!AR19</f>
        <v>39</v>
      </c>
      <c r="D19" s="794">
        <f>SUBTOTAL(9,D8:D18)</f>
        <v>4820</v>
      </c>
      <c r="E19" s="795">
        <f>IF(ISNUMBER(D19/B19),D19/B19," - ")</f>
        <v>123.58974358974359</v>
      </c>
      <c r="F19" s="794">
        <f>SUBTOTAL(9,F8:F18)</f>
        <v>24878</v>
      </c>
      <c r="G19" s="795">
        <f>IF(ISNUMBER(F19/B19),F19/B19," - ")</f>
        <v>637.89743589743591</v>
      </c>
      <c r="H19" s="794">
        <f>SUBTOTAL(9,H8:H18)</f>
        <v>5631</v>
      </c>
      <c r="I19" s="795">
        <f>IF(ISNUMBER(H19/B19),H19/B19," - ")</f>
        <v>144.38461538461539</v>
      </c>
    </row>
    <row r="22" spans="1:78">
      <c r="A22" s="391" t="str">
        <f>Criterios!A4</f>
        <v>Fecha Informe: 24 sep. 2024</v>
      </c>
    </row>
    <row r="27" spans="1:78">
      <c r="A27" s="414"/>
    </row>
  </sheetData>
  <sheetProtection algorithmName="SHA-512" hashValue="yTQ+4QLGihkmYnRmDMadyHszxRq5+HMyg61HOGg79VYieTSm1AZuz4rxSiKqOQa/Saf0Z4dMFUjafnKC35YbwQ==" saltValue="6EKs25flUZTGOFRjIXRAh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MALAGA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2568</v>
      </c>
      <c r="C9" s="434">
        <f>IF(ISNUMBER(Datos!Q9),Datos!Q9," - ")</f>
        <v>1561</v>
      </c>
      <c r="D9" s="408">
        <f>IF(ISNUMBER(Datos!R9),Datos!R9," - ")</f>
        <v>24974</v>
      </c>
    </row>
    <row r="10" spans="1:4">
      <c r="A10" s="402" t="str">
        <f>Datos!A10</f>
        <v>Jdos. Violencia contra la mujer</v>
      </c>
      <c r="B10" s="433">
        <f>IF(ISNUMBER(Datos!P10),Datos!P10," - ")</f>
        <v>76</v>
      </c>
      <c r="C10" s="434">
        <f>IF(ISNUMBER(Datos!Q10),Datos!Q10," - ")</f>
        <v>80</v>
      </c>
      <c r="D10" s="408">
        <f>IF(ISNUMBER(Datos!R10),Datos!R10," - ")</f>
        <v>373</v>
      </c>
    </row>
    <row r="11" spans="1:4">
      <c r="A11" s="402" t="str">
        <f>Datos!A11</f>
        <v xml:space="preserve">Jdos. Familia                                   </v>
      </c>
      <c r="B11" s="433">
        <f>IF(ISNUMBER(Datos!P11),Datos!P11," - ")</f>
        <v>331</v>
      </c>
      <c r="C11" s="434">
        <f>IF(ISNUMBER(Datos!Q11),Datos!Q11," - ")</f>
        <v>263</v>
      </c>
      <c r="D11" s="408">
        <f>IF(ISNUMBER(Datos!R11),Datos!R11," - ")</f>
        <v>2002</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2975</v>
      </c>
      <c r="C13" s="853">
        <f>SUBTOTAL(9,C9:C12)</f>
        <v>1904</v>
      </c>
      <c r="D13" s="851">
        <f>SUBTOTAL(9,D9:D12)</f>
        <v>27349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685</v>
      </c>
      <c r="C15" s="434">
        <f>IF(ISNUMBER(Datos!Q15),Datos!Q15," - ")</f>
        <v>664</v>
      </c>
      <c r="D15" s="408">
        <f>IF(ISNUMBER(Datos!R15),Datos!R15," - ")</f>
        <v>1196</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6</v>
      </c>
      <c r="C17" s="434">
        <f>IF(ISNUMBER(Datos!Q17),Datos!Q17," - ")</f>
        <v>7</v>
      </c>
      <c r="D17" s="408">
        <f>IF(ISNUMBER(Datos!R17),Datos!R17," - ")</f>
        <v>14</v>
      </c>
    </row>
    <row r="18" spans="1:4" ht="14.25" thickTop="1" thickBot="1">
      <c r="A18" s="848" t="str">
        <f>Datos!A18</f>
        <v>TOTAL</v>
      </c>
      <c r="B18" s="849">
        <f>SUBTOTAL(9,B15:B17)</f>
        <v>691</v>
      </c>
      <c r="C18" s="853">
        <f>SUBTOTAL(9,C15:C17)</f>
        <v>671</v>
      </c>
      <c r="D18" s="851">
        <f>SUBTOTAL(9,D15:D17)</f>
        <v>1210</v>
      </c>
    </row>
    <row r="19" spans="1:4" ht="16.5" customHeight="1" thickTop="1" thickBot="1">
      <c r="A19" s="793" t="str">
        <f>Datos!A19</f>
        <v>TOTAL JURISDICCIONES</v>
      </c>
      <c r="B19" s="798">
        <f>SUBTOTAL(9,B8:B18)</f>
        <v>3666</v>
      </c>
      <c r="C19" s="799">
        <f>SUBTOTAL(9,C8:C18)</f>
        <v>2575</v>
      </c>
      <c r="D19" s="800">
        <f>SUBTOTAL(9,D8:D18)</f>
        <v>28559</v>
      </c>
    </row>
    <row r="20" spans="1:4" ht="7.5" customHeight="1"/>
    <row r="21" spans="1:4" ht="6" customHeight="1"/>
    <row r="22" spans="1:4">
      <c r="A22" s="391" t="str">
        <f>Criterios!A4</f>
        <v>Fecha Informe: 24 sep. 2024</v>
      </c>
    </row>
    <row r="27" spans="1:4">
      <c r="A27" s="414"/>
    </row>
  </sheetData>
  <sheetProtection algorithmName="SHA-512" hashValue="cas7CAopOGU3l7kIb8l4vYxhXFUx/dName4mTm770n9s4JgNdCE20R0KXodeiET/dTA5P5I/70046QMcbs3YZA==" saltValue="hasauPbBTif9ndGEakZma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MALAGA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0.11740082184415684</v>
      </c>
      <c r="C9" s="456">
        <f>IF(ISNUMBER(
   IF(J_V="SI",(Datos!J9-Datos!T9)/Datos!T9,(Datos!J9+Datos!Z9-(Datos!T9+Datos!AH9))/(Datos!T9+Datos!AH9))
     ),IF(J_V="SI",(Datos!J9-Datos!T9)/Datos!T9,(Datos!J9+Datos!Z9-(Datos!T9+Datos!AH9))/(Datos!T9+Datos!AH9))," - ")</f>
        <v>1.0372188139059304</v>
      </c>
      <c r="D9" s="456">
        <f>IF(ISNUMBER(
   IF(J_V="SI",(Datos!K9-Datos!U9)/Datos!U9,(Datos!K9+Datos!AA9-(Datos!U9+Datos!AI9))/(Datos!U9+Datos!AI9))
     ),IF(J_V="SI",(Datos!K9-Datos!U9)/Datos!U9,(Datos!K9+Datos!AA9-(Datos!U9+Datos!AI9))/(Datos!U9+Datos!AI9))," - ")</f>
        <v>0.59295881777681192</v>
      </c>
      <c r="E9" s="456">
        <f>IF(ISNUMBER(
   IF(J_V="SI",(Datos!L9-Datos!V9)/Datos!V9,(Datos!L9+Datos!AB9-(Datos!V9+Datos!AJ9))/(Datos!V9+Datos!AJ9))
     ),IF(J_V="SI",(Datos!L9-Datos!V9)/Datos!V9,(Datos!L9+Datos!AB9-(Datos!V9+Datos!AJ9))/(Datos!V9+Datos!AJ9))," - ")</f>
        <v>0.28280678168645901</v>
      </c>
      <c r="F9" s="456">
        <f>IF(ISNUMBER((Datos!M9-Datos!W9)/Datos!W9),(Datos!M9-Datos!W9)/Datos!W9," - ")</f>
        <v>0.27117741076185403</v>
      </c>
      <c r="G9" s="457">
        <f>IF(ISNUMBER((Datos!N9-Datos!X9)/Datos!X9),(Datos!N9-Datos!X9)/Datos!X9," - ")</f>
        <v>0.66980207720948459</v>
      </c>
      <c r="H9" s="455">
        <f>IF(ISNUMBER(((NºAsuntos!G9/NºAsuntos!E9)-Datos!BD9)/Datos!BD9),((NºAsuntos!G9/NºAsuntos!E9)-Datos!BD9)/Datos!BD9," - ")</f>
        <v>-0.21807181098889675</v>
      </c>
      <c r="I9" s="456">
        <f>IF(ISNUMBER(((NºAsuntos!I9/NºAsuntos!G9)-Datos!BE9)/Datos!BE9),((NºAsuntos!I9/NºAsuntos!G9)-Datos!BE9)/Datos!BE9," - ")</f>
        <v>-0.19470185457977601</v>
      </c>
      <c r="J9" s="461">
        <f>IF(ISNUMBER((('Resol  Asuntos'!D9/NºAsuntos!G9)-Datos!BF9)/Datos!BF9),(('Resol  Asuntos'!D9/NºAsuntos!G9)-Datos!BF9)/Datos!BF9," - ")</f>
        <v>-0.70647822656816639</v>
      </c>
      <c r="K9" s="462">
        <f>IF(ISNUMBER((((NºAsuntos!C9+NºAsuntos!E9)/NºAsuntos!G9)-Datos!BG9)/Datos!BG9),(((NºAsuntos!C9+NºAsuntos!E9)/NºAsuntos!G9)-Datos!BG9)/Datos!BG9," - ")</f>
        <v>-0.14087708753351272</v>
      </c>
    </row>
    <row r="10" spans="1:11">
      <c r="A10" s="402" t="str">
        <f>Datos!A10</f>
        <v>Jdos. Violencia contra la mujer</v>
      </c>
      <c r="B10" s="455">
        <f>IF(ISNUMBER((Datos!I10-Datos!S10)/Datos!S10),(Datos!I10-Datos!S10)/Datos!S10," - ")</f>
        <v>4.9275362318840582E-2</v>
      </c>
      <c r="C10" s="456">
        <f>IF(ISNUMBER((Datos!J10-Datos!T10)/Datos!T10),(Datos!J10-Datos!T10)/Datos!T10," - ")</f>
        <v>0.96031746031746035</v>
      </c>
      <c r="D10" s="456">
        <f>IF(ISNUMBER((Datos!K10-Datos!U10)/Datos!U10),(Datos!K10-Datos!U10)/Datos!U10," - ")</f>
        <v>0.52500000000000002</v>
      </c>
      <c r="E10" s="456">
        <f>IF(ISNUMBER((Datos!L10-Datos!V10)/Datos!V10),(Datos!L10-Datos!V10)/Datos!V10," - ")</f>
        <v>0.15112540192926044</v>
      </c>
      <c r="F10" s="456">
        <f>IF(ISNUMBER((Datos!M10-Datos!W10)/Datos!W10),(Datos!M10-Datos!W10)/Datos!W10," - ")</f>
        <v>0.21052631578947367</v>
      </c>
      <c r="G10" s="457">
        <f>IF(ISNUMBER((Datos!N10-Datos!X10)/Datos!X10),(Datos!N10-Datos!X10)/Datos!X10," - ")</f>
        <v>0.32110091743119268</v>
      </c>
      <c r="H10" s="455">
        <f>IF(ISNUMBER(((NºAsuntos!G10/NºAsuntos!E10)-Datos!BD10)/Datos!BD10),((NºAsuntos!G10/NºAsuntos!E10)-Datos!BD10)/Datos!BD10," - ")</f>
        <v>-0.22206477732793517</v>
      </c>
      <c r="I10" s="456">
        <f>IF(ISNUMBER(((NºAsuntos!I10/NºAsuntos!G10)-Datos!BE10)/Datos!BE10),((NºAsuntos!I10/NºAsuntos!G10)-Datos!BE10)/Datos!BE10," - ")</f>
        <v>-0.24516367086605878</v>
      </c>
      <c r="J10" s="461">
        <f>IF(ISNUMBER((('Resol  Asuntos'!D10/NºAsuntos!G10)-Datos!BF10)/Datos!BF10),(('Resol  Asuntos'!D10/NºAsuntos!G10)-Datos!BF10)/Datos!BF10," - ")</f>
        <v>-0.20621225194132881</v>
      </c>
      <c r="K10" s="462">
        <f>IF(ISNUMBER((((NºAsuntos!C10+NºAsuntos!E10)/NºAsuntos!G10)-Datos!BG10)/Datos!BG10),(((NºAsuntos!C10+NºAsuntos!E10)/NºAsuntos!G10)-Datos!BG10)/Datos!BG10," - ")</f>
        <v>-0.15213532421426335</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-2.6672496720594664E-2</v>
      </c>
      <c r="C11" s="456">
        <f>IF(ISNUMBER(
   IF(J_V="SI",(Datos!J11-Datos!T11)/Datos!T11,(Datos!J11+Datos!Z11-(Datos!T11+Datos!AH11))/(Datos!T11+Datos!AH11))
     ),IF(J_V="SI",(Datos!J11-Datos!T11)/Datos!T11,(Datos!J11+Datos!Z11-(Datos!T11+Datos!AH11))/(Datos!T11+Datos!AH11))," - ")</f>
        <v>0.68112014453477865</v>
      </c>
      <c r="D11" s="456">
        <f>IF(ISNUMBER(
   IF(J_V="SI",(Datos!K11-Datos!U11)/Datos!U11,(Datos!K11+Datos!AA11-(Datos!U11+Datos!AI11))/(Datos!U11+Datos!AI11))
     ),IF(J_V="SI",(Datos!K11-Datos!U11)/Datos!U11,(Datos!K11+Datos!AA11-(Datos!U11+Datos!AI11))/(Datos!U11+Datos!AI11))," - ")</f>
        <v>0.70208333333333328</v>
      </c>
      <c r="E11" s="456">
        <f>IF(ISNUMBER(
   IF(J_V="SI",(Datos!L11-Datos!V11)/Datos!V11,(Datos!L11+Datos!AB11-(Datos!V11+Datos!AJ11))/(Datos!V11+Datos!AJ11))
     ),IF(J_V="SI",(Datos!L11-Datos!V11)/Datos!V11,(Datos!L11+Datos!AB11-(Datos!V11+Datos!AJ11))/(Datos!V11+Datos!AJ11))," - ")</f>
        <v>5.5053410024650778E-2</v>
      </c>
      <c r="F11" s="456">
        <f>IF(ISNUMBER((Datos!M11-Datos!W11)/Datos!W11),(Datos!M11-Datos!W11)/Datos!W11," - ")</f>
        <v>0.68062827225130895</v>
      </c>
      <c r="G11" s="457">
        <f>IF(ISNUMBER((Datos!N11-Datos!X11)/Datos!X11),(Datos!N11-Datos!X11)/Datos!X11," - ")</f>
        <v>0.52142857142857146</v>
      </c>
      <c r="H11" s="455">
        <f>IF(ISNUMBER(((NºAsuntos!G11/NºAsuntos!E11)-Datos!BD11)/Datos!BD11),((NºAsuntos!G11/NºAsuntos!E11)-Datos!BD11)/Datos!BD11," - ")</f>
        <v>1.2469774314884391E-2</v>
      </c>
      <c r="I11" s="456">
        <f>IF(ISNUMBER(((NºAsuntos!I11/NºAsuntos!G11)-Datos!BE11)/Datos!BE11),((NºAsuntos!I11/NºAsuntos!G11)-Datos!BE11)/Datos!BE11," - ")</f>
        <v>-0.38013997942248179</v>
      </c>
      <c r="J11" s="461">
        <f>IF(ISNUMBER((('Resol  Asuntos'!D11/NºAsuntos!G11)-Datos!BF11)/Datos!BF11),(('Resol  Asuntos'!D11/NºAsuntos!G11)-Datos!BF11)/Datos!BF11," - ")</f>
        <v>0.34708865186221366</v>
      </c>
      <c r="K11" s="462">
        <f>IF(ISNUMBER((((NºAsuntos!C11+NºAsuntos!E11)/NºAsuntos!G11)-Datos!BG11)/Datos!BG11),(((NºAsuntos!C11+NºAsuntos!E11)/NºAsuntos!G11)-Datos!BG11)/Datos!BG11," - ")</f>
        <v>-0.29252356199182233</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0.10508876565170382</v>
      </c>
      <c r="C13" s="855">
        <f>IF(ISNUMBER(
   IF(J_V="SI",(Datos!J13-Datos!T13)/Datos!T13,(Datos!J13+Datos!Z13-(Datos!T13+Datos!AH13))/(Datos!T13+Datos!AH13))
     ),IF(J_V="SI",(Datos!J13-Datos!T13)/Datos!T13,(Datos!J13+Datos!Z13-(Datos!T13+Datos!AH13))/(Datos!T13+Datos!AH13))," - ")</f>
        <v>1.0005448106782893</v>
      </c>
      <c r="D13" s="855">
        <f>IF(ISNUMBER(
   IF(J_V="SI",(Datos!K13-Datos!U13)/Datos!U13,(Datos!K13+Datos!AA13-(Datos!U13+Datos!AI13))/(Datos!U13+Datos!AI13))
     ),IF(J_V="SI",(Datos!K13-Datos!U13)/Datos!U13,(Datos!K13+Datos!AA13-(Datos!U13+Datos!AI13))/(Datos!U13+Datos!AI13))," - ")</f>
        <v>0.60205366656979564</v>
      </c>
      <c r="E13" s="855">
        <f>IF(ISNUMBER(
   IF(J_V="SI",(Datos!L13-Datos!V13)/Datos!V13,(Datos!L13+Datos!AB13-(Datos!V13+Datos!AJ13))/(Datos!V13+Datos!AJ13))
     ),IF(J_V="SI",(Datos!L13-Datos!V13)/Datos!V13,(Datos!L13+Datos!AB13-(Datos!V13+Datos!AJ13))/(Datos!V13+Datos!AJ13))," - ")</f>
        <v>0.26264268536395352</v>
      </c>
      <c r="F13" s="856">
        <f>IF(ISNUMBER((Datos!M13-Datos!W13)/Datos!W13),(Datos!M13-Datos!W13)/Datos!W13," - ")</f>
        <v>0.33721934369602763</v>
      </c>
      <c r="G13" s="857">
        <f>IF(ISNUMBER((Datos!N13-Datos!X13)/Datos!X13),(Datos!N13-Datos!X13)/Datos!X13," - ")</f>
        <v>0.65531682447195916</v>
      </c>
      <c r="H13" s="857">
        <f>IF(ISNUMBER(((NºAsuntos!G13/NºAsuntos!E13)-Datos!BD13)/Datos!BD13),((NºAsuntos!G13/NºAsuntos!E13)-Datos!BD13)/Datos!BD13," - ")</f>
        <v>-0.19919131127754358</v>
      </c>
      <c r="I13" s="857">
        <f>IF(ISNUMBER(((NºAsuntos!I13/NºAsuntos!G13)-Datos!BE13)/Datos!BE13),((NºAsuntos!I13/NºAsuntos!G13)-Datos!BE13)/Datos!BE13," - ")</f>
        <v>-0.21185993221598187</v>
      </c>
      <c r="J13" s="857">
        <f>IF(ISNUMBER((('Resol  Asuntos'!D13/NºAsuntos!G13)-Datos!BF13)/Datos!BF13),(('Resol  Asuntos'!D13/NºAsuntos!G13)-Datos!BF13)/Datos!BF13," - ")</f>
        <v>-0.64464269676609309</v>
      </c>
      <c r="K13" s="857">
        <f>IF(ISNUMBER((((NºAsuntos!C13+NºAsuntos!E13)/NºAsuntos!G13)-Datos!BG13)/Datos!BG13),(((NºAsuntos!C13+NºAsuntos!E13)/NºAsuntos!G13)-Datos!BG13)/Datos!BG13," - ")</f>
        <v>-0.15508861156845691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0.38221153846153844</v>
      </c>
      <c r="C15" s="456">
        <f>IF(ISNUMBER(
   IF(D_I="SI",(Datos!J15-Datos!T15)/Datos!T15,(Datos!J15+Datos!AD15-(Datos!T15+Datos!AL15))/(Datos!T15+Datos!AL15))
     ),IF(D_I="SI",(Datos!J15-Datos!T15)/Datos!T15,(Datos!J15+Datos!AD15-(Datos!T15+Datos!AL15))/(Datos!T15+Datos!AL15))," - ")</f>
        <v>4.1384799044966177E-2</v>
      </c>
      <c r="D15" s="456">
        <f>IF(ISNUMBER(
   IF(D_I="SI",(Datos!K15-Datos!U15)/Datos!U15,(Datos!K15+Datos!AE15-(Datos!U15+Datos!AM15))/(Datos!U15+Datos!AM15))
     ),IF(D_I="SI",(Datos!K15-Datos!U15)/Datos!U15,(Datos!K15+Datos!AE15-(Datos!U15+Datos!AM15))/(Datos!U15+Datos!AM15))," - ")</f>
        <v>5.5289441500203831E-2</v>
      </c>
      <c r="E15" s="456">
        <f>IF(ISNUMBER(
   IF(D_I="SI",(Datos!L15-Datos!V15)/Datos!V15,(Datos!L15+Datos!AF15-(Datos!V15+Datos!AN15))/(Datos!V15+Datos!AN15))
     ),IF(D_I="SI",(Datos!L15-Datos!V15)/Datos!V15,(Datos!L15+Datos!AF15-(Datos!V15+Datos!AN15))/(Datos!V15+Datos!AN15))," - ")</f>
        <v>0.28909432779692884</v>
      </c>
      <c r="F15" s="456">
        <f>IF(ISNUMBER((Datos!M15-Datos!W15)/Datos!W15),(Datos!M15-Datos!W15)/Datos!W15," - ")</f>
        <v>0.21729490022172948</v>
      </c>
      <c r="G15" s="457">
        <f>IF(ISNUMBER((Datos!N15-Datos!X15)/Datos!X15),(Datos!N15-Datos!X15)/Datos!X15," - ")</f>
        <v>1.9639934533551555E-2</v>
      </c>
      <c r="H15" s="455">
        <f>IF(ISNUMBER(((NºAsuntos!G15/NºAsuntos!E15)-Datos!BD15)/Datos!BD15),((NºAsuntos!G15/NºAsuntos!E15)-Datos!BD15)/Datos!BD15," - ")</f>
        <v>1.3352069732522903E-2</v>
      </c>
      <c r="I15" s="456">
        <f>IF(ISNUMBER(((NºAsuntos!I15/NºAsuntos!G15)-Datos!BE15)/Datos!BE15),((NºAsuntos!I15/NºAsuntos!G15)-Datos!BE15)/Datos!BE15," - ")</f>
        <v>0.22155522182079937</v>
      </c>
      <c r="J15" s="461">
        <f>IF(ISNUMBER((('Resol  Asuntos'!D15/NºAsuntos!G15)-Datos!BF15)/Datos!BF15),(('Resol  Asuntos'!D15/NºAsuntos!G15)-Datos!BF15)/Datos!BF15," - ")</f>
        <v>0.15351755864364375</v>
      </c>
      <c r="K15" s="462">
        <f>IF(ISNUMBER((((NºAsuntos!C15+NºAsuntos!E15)/NºAsuntos!G15)-Datos!BG15)/Datos!BG15),(((NºAsuntos!C15+NºAsuntos!E15)/NºAsuntos!G15)-Datos!BG15)/Datos!BG15," - ")</f>
        <v>5.9370016649366447E-2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0.35680751173708919</v>
      </c>
      <c r="C17" s="456">
        <f>IF(ISNUMBER(
   IF(D_I="SI",(Datos!J17-Datos!T17)/Datos!T17,(Datos!J17+Datos!AD17-(Datos!T17+Datos!AL17))/(Datos!T17+Datos!AL17))
     ),IF(D_I="SI",(Datos!J17-Datos!T17)/Datos!T17,(Datos!J17+Datos!AD17-(Datos!T17+Datos!AL17))/(Datos!T17+Datos!AL17))," - ")</f>
        <v>-0.22736732570239335</v>
      </c>
      <c r="D17" s="456">
        <f>IF(ISNUMBER(
   IF(D_I="SI",(Datos!K17-Datos!U17)/Datos!U17,(Datos!K17+Datos!AE17-(Datos!U17+Datos!AM17))/(Datos!U17+Datos!AM17))
     ),IF(D_I="SI",(Datos!K17-Datos!U17)/Datos!U17,(Datos!K17+Datos!AE17-(Datos!U17+Datos!AM17))/(Datos!U17+Datos!AM17))," - ")</f>
        <v>-0.18328530259365994</v>
      </c>
      <c r="E17" s="456">
        <f>IF(ISNUMBER(
   IF(D_I="SI",(Datos!L17-Datos!V17)/Datos!V17,(Datos!L17+Datos!AF17-(Datos!V17+Datos!AN17))/(Datos!V17+Datos!AN17))
     ),IF(D_I="SI",(Datos!L17-Datos!V17)/Datos!V17,(Datos!L17+Datos!AF17-(Datos!V17+Datos!AN17))/(Datos!V17+Datos!AN17))," - ")</f>
        <v>0.15180722891566265</v>
      </c>
      <c r="F17" s="456">
        <f>IF(ISNUMBER((Datos!M17-Datos!W17)/Datos!W17),(Datos!M17-Datos!W17)/Datos!W17," - ")</f>
        <v>4.1095890410958902E-2</v>
      </c>
      <c r="G17" s="457">
        <f>IF(ISNUMBER((Datos!N17-Datos!X17)/Datos!X17),(Datos!N17-Datos!X17)/Datos!X17," - ")</f>
        <v>-0.22108208955223882</v>
      </c>
      <c r="H17" s="455">
        <f>IF(ISNUMBER(((NºAsuntos!G17/NºAsuntos!E17)-Datos!BD17)/Datos!BD17),((NºAsuntos!G17/NºAsuntos!E17)-Datos!BD17)/Datos!BD17," - ")</f>
        <v>5.7054308696959946E-2</v>
      </c>
      <c r="I17" s="456">
        <f>IF(ISNUMBER(((NºAsuntos!I17/NºAsuntos!G17)-Datos!BE17)/Datos!BE17),((NºAsuntos!I17/NºAsuntos!G17)-Datos!BE17)/Datos!BE17," - ")</f>
        <v>0.41029325488262158</v>
      </c>
      <c r="J17" s="461">
        <f>IF(ISNUMBER((('Resol  Asuntos'!D17/NºAsuntos!G17)-Datos!BF17)/Datos!BF17),(('Resol  Asuntos'!D17/NºAsuntos!G17)-Datos!BF17)/Datos!BF17," - ")</f>
        <v>0.27473632312139284</v>
      </c>
      <c r="K17" s="462">
        <f>IF(ISNUMBER((((NºAsuntos!C17+NºAsuntos!E17)/NºAsuntos!G17)-Datos!BG17)/Datos!BG17),(((NºAsuntos!C17+NºAsuntos!E17)/NºAsuntos!G17)-Datos!BG17)/Datos!BG17," - ")</f>
        <v>0.12449458340004262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0.37969982980040229</v>
      </c>
      <c r="C18" s="855">
        <f>IF(ISNUMBER(
   IF(Criterios!B14="SI",(Datos!J18-Datos!T18)/Datos!T18,(Datos!J18+Datos!AD18-(Datos!T18+Datos!AL18))/(Datos!T18+Datos!AL18))
     ),IF(Criterios!B14="SI",(Datos!J18-Datos!T18)/Datos!T18,(Datos!J18+Datos!AD18-(Datos!T18+Datos!AL18))/(Datos!T18+Datos!AL18))," - ")</f>
        <v>1.7933351493689277E-2</v>
      </c>
      <c r="D18" s="855">
        <f>IF(ISNUMBER(
   IF(Criterios!B14="SI",(Datos!K18-Datos!U18)/Datos!U18,(Datos!K18+Datos!AE18-(Datos!U18+Datos!AM18))/(Datos!U18+Datos!AM18))
     ),IF(Criterios!B14="SI",(Datos!K18-Datos!U18)/Datos!U18,(Datos!K18+Datos!AE18-(Datos!U18+Datos!AM18))/(Datos!U18+Datos!AM18))," - ")</f>
        <v>3.5909920876445525E-2</v>
      </c>
      <c r="E18" s="855">
        <f>IF(ISNUMBER(
   IF(Criterios!B14="SI",(Datos!L18-Datos!V18)/Datos!V18,(Datos!L18+Datos!AF18-(Datos!V18+Datos!AN18))/(Datos!V18+Datos!AN18))
     ),IF(Criterios!B14="SI",(Datos!L18-Datos!V18)/Datos!V18,(Datos!L18+Datos!AF18-(Datos!V18+Datos!AN18))/(Datos!V18+Datos!AN18))," - ")</f>
        <v>0.27329450915141429</v>
      </c>
      <c r="F18" s="856">
        <f>IF(ISNUMBER((Datos!M18-Datos!W18)/Datos!W18),(Datos!M18-Datos!W18)/Datos!W18," - ")</f>
        <v>0.20827489481065919</v>
      </c>
      <c r="G18" s="857">
        <f>IF(ISNUMBER((Datos!N18-Datos!X18)/Datos!X18),(Datos!N18-Datos!X18)/Datos!X18," - ")</f>
        <v>3.2409761057447888E-3</v>
      </c>
      <c r="H18" s="857">
        <f>IF(ISNUMBER(((NºAsuntos!G18/NºAsuntos!E18)-Datos!BD18)/Datos!BD18),((NºAsuntos!G18/NºAsuntos!E18)-Datos!BD18)/Datos!BD18," - ")</f>
        <v>1.7659868749145335E-2</v>
      </c>
      <c r="I18" s="857">
        <f>IF(ISNUMBER(((NºAsuntos!I18/NºAsuntos!G18)-Datos!BE18)/Datos!BE18),((NºAsuntos!I18/NºAsuntos!G18)-Datos!BE18)/Datos!BE18," - ")</f>
        <v>0.22915562781185303</v>
      </c>
      <c r="J18" s="857">
        <f>IF(ISNUMBER((('Resol  Asuntos'!D18/NºAsuntos!G18)-Datos!BF18)/Datos!BF18),(('Resol  Asuntos'!D18/NºAsuntos!G18)-Datos!BF18)/Datos!BF18," - ")</f>
        <v>0.16638992489654125</v>
      </c>
      <c r="K18" s="857">
        <f>IF(ISNUMBER((((NºAsuntos!C18+NºAsuntos!E18)/NºAsuntos!G18)-Datos!BG18)/Datos!BG18),(((NºAsuntos!C18+NºAsuntos!E18)/NºAsuntos!G18)-Datos!BG18)/Datos!BG18," - ")</f>
        <v>6.1871778577081989E-2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0.15560425798371946</v>
      </c>
      <c r="C19" s="802">
        <f>IF(ISNUMBER(
   IF(J_V="SI",(Datos!J19-Datos!T19)/Datos!T19,(Datos!J19+Datos!Z19-(Datos!T19+Datos!AH19))/(Datos!T19+Datos!AH19))
     ),IF(J_V="SI",(Datos!J19-Datos!T19)/Datos!T19,(Datos!J19+Datos!Z19-(Datos!T19+Datos!AH19))/(Datos!T19+Datos!AH19))," - ")</f>
        <v>0.3454705045552226</v>
      </c>
      <c r="D19" s="802">
        <f>IF(ISNUMBER(
   IF(J_V="SI",(Datos!K19-Datos!U19)/Datos!U19,(Datos!K19+Datos!AA19-(Datos!U19+Datos!AI19))/(Datos!U19+Datos!AI19))
     ),IF(J_V="SI",(Datos!K19-Datos!U19)/Datos!U19,(Datos!K19+Datos!AA19-(Datos!U19+Datos!AI19))/(Datos!U19+Datos!AI19))," - ")</f>
        <v>0.22037750142036489</v>
      </c>
      <c r="E19" s="802">
        <f>IF(ISNUMBER(
   IF(J_V="SI",(Datos!L19-Datos!V19)/Datos!V19,(Datos!L19+Datos!AB19-(Datos!V19+Datos!AJ19))/(Datos!V19+Datos!AJ19))
     ),IF(J_V="SI",(Datos!L19-Datos!V19)/Datos!V19,(Datos!L19+Datos!AB19-(Datos!V19+Datos!AJ19))/(Datos!V19+Datos!AJ19))," - ")</f>
        <v>0.26473390499523614</v>
      </c>
      <c r="F19" s="803">
        <f>IF(ISNUMBER((Datos!M19-Datos!W19)/Datos!W19),(Datos!M19-Datos!W19)/Datos!W19," - ")</f>
        <v>0.28808123997862106</v>
      </c>
      <c r="G19" s="804">
        <f>IF(ISNUMBER((Datos!N19-Datos!X19)/Datos!X19),(Datos!N19-Datos!X19)/Datos!X19," - ")</f>
        <v>0.17194271716600715</v>
      </c>
      <c r="H19" s="805">
        <f>IF(ISNUMBER((Tasas!B19-Datos!BD19)/Datos!BD19),(Tasas!B19-Datos!BD19)/Datos!BD19," - ")</f>
        <v>-9.2973426553271177E-2</v>
      </c>
      <c r="I19" s="806">
        <f>IF(ISNUMBER((Tasas!C19-Datos!BE19)/Datos!BE19),(Tasas!C19-Datos!BE19)/Datos!BE19," - ")</f>
        <v>3.6346461257476641E-2</v>
      </c>
      <c r="J19" s="807">
        <f>IF(ISNUMBER((Tasas!D19-Datos!BF19)/Datos!BF19),(Tasas!D19-Datos!BF19)/Datos!BF19," - ")</f>
        <v>-0.4247600410060724</v>
      </c>
      <c r="K19" s="807">
        <f>IF(ISNUMBER((Tasas!E19-Datos!BG19)/Datos!BG19),(Tasas!E19-Datos!BG19)/Datos!BG19," - ")</f>
        <v>2.2323030432164714E-2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8AkPcqYrOU8+VX11bVSnVHAjbwPvsIESE0IGWy6jv4IBF6332sJbHFNUS9Qa70VtzCM+NocGlGQ0bXU2zMguJw==" saltValue="6tMtC3TURQgD0csiPgTAi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MALAGA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0.7357960248945995</v>
      </c>
      <c r="C9" s="443">
        <f>IF(ISNUMBER(NºAsuntos!I9/NºAsuntos!G9),NºAsuntos!I9/NºAsuntos!G9," - ")</f>
        <v>2.3431787175989087</v>
      </c>
      <c r="D9" s="444">
        <f>IF(ISNUMBER('Resol  Asuntos'!D9/NºAsuntos!G9),'Resol  Asuntos'!D9/NºAsuntos!G9," - ")</f>
        <v>0.16275579809004093</v>
      </c>
      <c r="E9" s="445">
        <f>IF(ISNUMBER((NºAsuntos!C9+NºAsuntos!E9)/NºAsuntos!G9),(NºAsuntos!C9+NºAsuntos!E9)/NºAsuntos!G9," - ")</f>
        <v>3.3437926330150067</v>
      </c>
      <c r="G9" s="463"/>
    </row>
    <row r="10" spans="1:7">
      <c r="A10" s="402" t="str">
        <f>Datos!A10</f>
        <v>Jdos. Violencia contra la mujer</v>
      </c>
      <c r="B10" s="442">
        <f>IF(ISNUMBER(NºAsuntos!G10/NºAsuntos!E10),NºAsuntos!G10/NºAsuntos!E10," - ")</f>
        <v>0.98785425101214575</v>
      </c>
      <c r="C10" s="443">
        <f>IF(ISNUMBER(NºAsuntos!I10/NºAsuntos!G10),NºAsuntos!I10/NºAsuntos!G10," - ")</f>
        <v>1.4672131147540983</v>
      </c>
      <c r="D10" s="444">
        <f>IF(ISNUMBER('Resol  Asuntos'!D10/NºAsuntos!G10),'Resol  Asuntos'!D10/NºAsuntos!G10," - ")</f>
        <v>0.28278688524590162</v>
      </c>
      <c r="E10" s="445">
        <f>IF(ISNUMBER((NºAsuntos!C10+NºAsuntos!E10)/NºAsuntos!G10),(NºAsuntos!C10+NºAsuntos!E10)/NºAsuntos!G10," - ")</f>
        <v>2.4959016393442623</v>
      </c>
      <c r="G10" s="463"/>
    </row>
    <row r="11" spans="1:7">
      <c r="A11" s="402" t="str">
        <f>Datos!A11</f>
        <v xml:space="preserve">Jdos. Familia                                   </v>
      </c>
      <c r="B11" s="442">
        <f>IF(ISNUMBER(NºAsuntos!G11/NºAsuntos!E11),NºAsuntos!G11/NºAsuntos!E11," - ")</f>
        <v>0.87802256851155291</v>
      </c>
      <c r="C11" s="443">
        <f>IF(ISNUMBER(NºAsuntos!I11/NºAsuntos!G11),NºAsuntos!I11/NºAsuntos!G11," - ")</f>
        <v>1.5716034271725827</v>
      </c>
      <c r="D11" s="444">
        <f>IF(ISNUMBER('Resol  Asuntos'!D11/NºAsuntos!G11),'Resol  Asuntos'!D11/NºAsuntos!G11," - ")</f>
        <v>0.39290085679314568</v>
      </c>
      <c r="E11" s="445">
        <f>IF(ISNUMBER((NºAsuntos!C11+NºAsuntos!E11)/NºAsuntos!G11),(NºAsuntos!C11+NºAsuntos!E11)/NºAsuntos!G11," - ")</f>
        <v>2.5012239902080782</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0.75063543936092958</v>
      </c>
      <c r="C13" s="859">
        <f>IF(ISNUMBER(NºAsuntos!I13/NºAsuntos!G13),NºAsuntos!I13/NºAsuntos!G13," - ")</f>
        <v>2.2540210424476963</v>
      </c>
      <c r="D13" s="860">
        <f>IF(ISNUMBER('Resol  Asuntos'!D13/NºAsuntos!G13),'Resol  Asuntos'!D13/NºAsuntos!G13," - ")</f>
        <v>0.18726569113556657</v>
      </c>
      <c r="E13" s="861">
        <f>IF(ISNUMBER((NºAsuntos!C13+NºAsuntos!E13)/NºAsuntos!G13),(NºAsuntos!C13+NºAsuntos!E13)/NºAsuntos!G13," - ")</f>
        <v>3.2480348288789456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0.98915743217424534</v>
      </c>
      <c r="C15" s="443">
        <f>IF(ISNUMBER(NºAsuntos!I15/NºAsuntos!G15),NºAsuntos!I15/NºAsuntos!G15," - ")</f>
        <v>0.39726688879231253</v>
      </c>
      <c r="D15" s="444">
        <f>IF(ISNUMBER('Resol  Asuntos'!D15/NºAsuntos!G15),'Resol  Asuntos'!D15/NºAsuntos!G15," - ")</f>
        <v>7.9530638852672753E-2</v>
      </c>
      <c r="E15" s="445">
        <f>IF(ISNUMBER((NºAsuntos!C15+NºAsuntos!E15)/NºAsuntos!G15),(NºAsuntos!C15+NºAsuntos!E15)/NºAsuntos!G15," - ")</f>
        <v>1.3996812979863826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0.95420875420875417</v>
      </c>
      <c r="C17" s="443">
        <f>IF(ISNUMBER(NºAsuntos!I17/NºAsuntos!G17),NºAsuntos!I17/NºAsuntos!G17," - ")</f>
        <v>0.67466478475652791</v>
      </c>
      <c r="D17" s="444">
        <f>IF(ISNUMBER('Resol  Asuntos'!D17/NºAsuntos!G17),'Resol  Asuntos'!D17/NºAsuntos!G17," - ")</f>
        <v>5.3634438955539876E-2</v>
      </c>
      <c r="E17" s="445">
        <f>IF(ISNUMBER((NºAsuntos!C17+NºAsuntos!E17)/NºAsuntos!G17),(NºAsuntos!C17+NºAsuntos!E17)/NºAsuntos!G17," - ")</f>
        <v>1.6598447424135498</v>
      </c>
      <c r="G17" s="463"/>
    </row>
    <row r="18" spans="1:7" ht="14.25" thickTop="1" thickBot="1">
      <c r="A18" s="848" t="str">
        <f>Datos!A18</f>
        <v>TOTAL</v>
      </c>
      <c r="B18" s="858">
        <f>IF(ISNUMBER(NºAsuntos!G18/NºAsuntos!E18),NºAsuntos!G18/NºAsuntos!E18," - ")</f>
        <v>0.98684269211899556</v>
      </c>
      <c r="C18" s="859">
        <f>IF(ISNUMBER(NºAsuntos!I18/NºAsuntos!G18),NºAsuntos!I18/NºAsuntos!G18," - ")</f>
        <v>0.41503208894513244</v>
      </c>
      <c r="D18" s="862">
        <f>IF(ISNUMBER('Resol  Asuntos'!D18/NºAsuntos!G18),'Resol  Asuntos'!D18/NºAsuntos!G18," - ")</f>
        <v>7.7872186567838744E-2</v>
      </c>
      <c r="E18" s="861">
        <f>IF(ISNUMBER((NºAsuntos!C18+NºAsuntos!E18)/NºAsuntos!G18),(NºAsuntos!C18+NºAsuntos!E18)/NºAsuntos!G18," - ")</f>
        <v>1.4163427641688511</v>
      </c>
      <c r="G18" s="463"/>
    </row>
    <row r="19" spans="1:7" ht="15.75" customHeight="1" thickTop="1" thickBot="1">
      <c r="A19" s="793" t="str">
        <f>Datos!A19</f>
        <v>TOTAL JURISDICCIONES</v>
      </c>
      <c r="B19" s="808">
        <f>IF(ISNUMBER(NºAsuntos!G19/NºAsuntos!E19),NºAsuntos!G19/NºAsuntos!E19," - ")</f>
        <v>0.86977256878050979</v>
      </c>
      <c r="C19" s="809">
        <f>IF(ISNUMBER(NºAsuntos!I19/NºAsuntos!G19),NºAsuntos!I19/NºAsuntos!G19," - ")</f>
        <v>1.2016345954893441</v>
      </c>
      <c r="D19" s="810">
        <f>IF(ISNUMBER('Resol  Asuntos'!D19/NºAsuntos!G19),'Resol  Asuntos'!D19/NºAsuntos!G19," - ")</f>
        <v>0.12466376991516656</v>
      </c>
      <c r="E19" s="811">
        <f>IF(ISNUMBER((NºAsuntos!C19+NºAsuntos!E19)/NºAsuntos!G19),(NºAsuntos!C19+NºAsuntos!E19)/NºAsuntos!G19," - ")</f>
        <v>2.1998241258017792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Snkm9+5tWDzT1c1QbMIiu+swQNTgj3FIWY1Sjecz5YwAWIIRaDluN70LbbkdB50Mehi/dAaxOMah3tLXL5IMw==" saltValue="enZ+P063FwlDSBbSrcgCG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MALAGA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18</v>
      </c>
      <c r="B9" s="177" t="s">
        <v>246</v>
      </c>
      <c r="C9" s="160" t="str">
        <f>Datos!A9</f>
        <v xml:space="preserve">Jdos. 1ª Instancia   </v>
      </c>
      <c r="D9" s="160"/>
      <c r="E9" s="1025">
        <f>IF(ISNUMBER(Datos!AQ9),Datos!AQ9," - ")</f>
        <v>18</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2568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1561</v>
      </c>
      <c r="Y9" s="334">
        <f>SUM(W9:X9)</f>
        <v>1561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24974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2386</v>
      </c>
      <c r="AJ9" s="229" t="str">
        <f>IF(ISNUMBER(Datos!BW9),Datos!BW9," - ")</f>
        <v xml:space="preserve"> - </v>
      </c>
      <c r="AK9" s="228" t="str">
        <f>IF(ISNUMBER(Datos!BX9),Datos!BX9," - ")</f>
        <v xml:space="preserve"> - </v>
      </c>
      <c r="AL9" s="243">
        <f>IF(ISNUMBER(NºAsuntos!G9/NºAsuntos!E9),NºAsuntos!G9/NºAsuntos!E9," - ")</f>
        <v>0.7357960248945995</v>
      </c>
      <c r="AM9" s="260">
        <f>IF(ISNUMBER(((NºAsuntos!I9/NºAsuntos!G9)*11)/factor_trimestre),((NºAsuntos!I9/NºAsuntos!G9)*11)/factor_trimestre," - ")</f>
        <v>7.0295361527967266</v>
      </c>
      <c r="AN9" s="244">
        <f>IF(ISNUMBER('Resol  Asuntos'!D9/NºAsuntos!G9),'Resol  Asuntos'!D9/NºAsuntos!G9," - ")</f>
        <v>0.16275579809004093</v>
      </c>
      <c r="AO9" s="245">
        <f>IF(ISNUMBER((NºAsuntos!C9+NºAsuntos!E9)/NºAsuntos!G9),(NºAsuntos!C9+NºAsuntos!E9)/NºAsuntos!G9," - ")</f>
        <v>3.3437926330150067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3</v>
      </c>
      <c r="B10" s="275" t="s">
        <v>246</v>
      </c>
      <c r="C10" s="7" t="str">
        <f>Datos!A10</f>
        <v>Jdos. Violencia contra la mujer</v>
      </c>
      <c r="D10" s="7"/>
      <c r="E10" s="1025">
        <f>IF(ISNUMBER(Datos!AQ10),Datos!AQ10," - ")</f>
        <v>3</v>
      </c>
      <c r="F10" s="225">
        <f>IF(ISNUMBER(Datos!L10+Datos!K10-Datos!J10-K10),Datos!L10+Datos!K10-Datos!J10-K10," - ")</f>
        <v>355</v>
      </c>
      <c r="G10" s="333">
        <f>IF(ISNUMBER(Datos!I10),Datos!I10," - ")</f>
        <v>362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244</v>
      </c>
      <c r="X10" s="226">
        <f>IF(ISNUMBER(Datos!Q10),Datos!Q10," - ")</f>
        <v>80</v>
      </c>
      <c r="Y10" s="334">
        <f t="shared" ref="Y10:Y12" si="0">SUM(W10:X10)</f>
        <v>324</v>
      </c>
      <c r="Z10" s="335" t="str">
        <f>IF(ISNUMBER(Datos!CC10),Datos!CC10," - ")</f>
        <v xml:space="preserve"> - </v>
      </c>
      <c r="AA10" s="332">
        <f>IF(ISNUMBER(Datos!L10),Datos!L10,"-")</f>
        <v>358</v>
      </c>
      <c r="AB10" s="334">
        <f>IF(ISNUMBER(Datos!R10),Datos!R10," - ")</f>
        <v>373</v>
      </c>
      <c r="AC10" s="334">
        <f t="shared" ref="AC10:AC12" si="1">IF(ISNUMBER(AA10+AB10),AA10+AB10," - ")</f>
        <v>731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69</v>
      </c>
      <c r="AJ10" s="231" t="str">
        <f>IF(ISNUMBER(Datos!BW10),Datos!BW10," - ")</f>
        <v xml:space="preserve"> - </v>
      </c>
      <c r="AK10" s="232" t="str">
        <f>IF(ISNUMBER(Datos!BX10),Datos!BX10," - ")</f>
        <v xml:space="preserve"> - </v>
      </c>
      <c r="AL10" s="243">
        <f>IF(ISNUMBER(NºAsuntos!G10/NºAsuntos!E10),NºAsuntos!G10/NºAsuntos!E10," - ")</f>
        <v>0.98785425101214575</v>
      </c>
      <c r="AM10" s="260">
        <f>IF(ISNUMBER(((NºAsuntos!I10/NºAsuntos!G10)*11)/factor_trimestre),((NºAsuntos!I10/NºAsuntos!G10)*11)/factor_trimestre," - ")</f>
        <v>4.4016393442622954</v>
      </c>
      <c r="AN10" s="244">
        <f>IF(ISNUMBER('Resol  Asuntos'!D10/NºAsuntos!G10),'Resol  Asuntos'!D10/NºAsuntos!G10," - ")</f>
        <v>0.28278688524590162</v>
      </c>
      <c r="AO10" s="245">
        <f>IF(ISNUMBER((NºAsuntos!C10+NºAsuntos!E10)/NºAsuntos!G10),(NºAsuntos!C10+NºAsuntos!E10)/NºAsuntos!G10," - ")</f>
        <v>2.4959016393442623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4</v>
      </c>
      <c r="B11" s="275" t="s">
        <v>246</v>
      </c>
      <c r="C11" s="7" t="str">
        <f>Datos!A11</f>
        <v xml:space="preserve">Jdos. Familia                                   </v>
      </c>
      <c r="D11" s="7"/>
      <c r="E11" s="1025">
        <f>IF(ISNUMBER(Datos!AQ11),Datos!AQ11," - ")</f>
        <v>4</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331</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263</v>
      </c>
      <c r="Y11" s="334">
        <f t="shared" si="0"/>
        <v>263</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2002</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642</v>
      </c>
      <c r="AJ11" s="231" t="str">
        <f>IF(ISNUMBER(Datos!BW11),Datos!BW11," - ")</f>
        <v xml:space="preserve"> - </v>
      </c>
      <c r="AK11" s="232" t="str">
        <f>IF(ISNUMBER(Datos!BX11),Datos!BX11," - ")</f>
        <v xml:space="preserve"> - </v>
      </c>
      <c r="AL11" s="243">
        <f>IF(ISNUMBER(NºAsuntos!G11/NºAsuntos!E11),NºAsuntos!G11/NºAsuntos!E11," - ")</f>
        <v>0.87802256851155291</v>
      </c>
      <c r="AM11" s="260">
        <f>IF(ISNUMBER(((NºAsuntos!I11/NºAsuntos!G11)*11)/factor_trimestre),((NºAsuntos!I11/NºAsuntos!G11)*11)/factor_trimestre," - ")</f>
        <v>4.7148102815177486</v>
      </c>
      <c r="AN11" s="244">
        <f>IF(ISNUMBER('Resol  Asuntos'!D11/NºAsuntos!G11),'Resol  Asuntos'!D11/NºAsuntos!G11," - ")</f>
        <v>0.39290085679314568</v>
      </c>
      <c r="AO11" s="245">
        <f>IF(ISNUMBER((NºAsuntos!C11+NºAsuntos!E11)/NºAsuntos!G11),(NºAsuntos!C11+NºAsuntos!E11)/NºAsuntos!G11," - ")</f>
        <v>2.5012239902080782</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25</v>
      </c>
      <c r="F13" s="865">
        <f t="shared" si="3"/>
        <v>355</v>
      </c>
      <c r="G13" s="866">
        <f t="shared" si="3"/>
        <v>362</v>
      </c>
      <c r="H13" s="865">
        <f t="shared" si="3"/>
        <v>0</v>
      </c>
      <c r="I13" s="867">
        <f t="shared" si="3"/>
        <v>0</v>
      </c>
      <c r="J13" s="867">
        <f t="shared" si="3"/>
        <v>0</v>
      </c>
      <c r="K13" s="867">
        <f t="shared" si="3"/>
        <v>0</v>
      </c>
      <c r="L13" s="867">
        <f t="shared" si="3"/>
        <v>2975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244</v>
      </c>
      <c r="X13" s="867">
        <f t="shared" si="4"/>
        <v>1904</v>
      </c>
      <c r="Y13" s="868">
        <f t="shared" si="4"/>
        <v>2148</v>
      </c>
      <c r="Z13" s="868">
        <f t="shared" si="4"/>
        <v>0</v>
      </c>
      <c r="AA13" s="868">
        <f t="shared" si="4"/>
        <v>358</v>
      </c>
      <c r="AB13" s="868">
        <f t="shared" si="4"/>
        <v>27349</v>
      </c>
      <c r="AC13" s="868">
        <f t="shared" si="4"/>
        <v>731</v>
      </c>
      <c r="AD13" s="868">
        <f t="shared" si="4"/>
        <v>0</v>
      </c>
      <c r="AE13" s="872">
        <f t="shared" si="4"/>
        <v>0</v>
      </c>
      <c r="AF13" s="865">
        <f t="shared" si="4"/>
        <v>0</v>
      </c>
      <c r="AG13" s="873">
        <f t="shared" si="4"/>
        <v>0</v>
      </c>
      <c r="AH13" s="870">
        <f t="shared" si="4"/>
        <v>0</v>
      </c>
      <c r="AI13" s="865">
        <f t="shared" si="4"/>
        <v>3097</v>
      </c>
      <c r="AJ13" s="867">
        <f t="shared" si="4"/>
        <v>0</v>
      </c>
      <c r="AK13" s="870">
        <f>SUBTOTAL(9,AK9:AK12)</f>
        <v>0</v>
      </c>
      <c r="AL13" s="874">
        <f>IF(ISNUMBER(NºAsuntos!G13/NºAsuntos!E13),NºAsuntos!G13/NºAsuntos!E13," - ")</f>
        <v>0.75063543936092958</v>
      </c>
      <c r="AM13" s="874">
        <f>IF(ISNUMBER(((NºAsuntos!I13/NºAsuntos!G13)*11)/factor_trimestre),((NºAsuntos!I13/NºAsuntos!G13)*11)/factor_trimestre," - ")</f>
        <v>6.7620631273430893</v>
      </c>
      <c r="AN13" s="875">
        <f>IF(ISNUMBER('Resol  Asuntos'!D13/NºAsuntos!G13),'Resol  Asuntos'!D13/NºAsuntos!G13," - ")</f>
        <v>0.18726569113556657</v>
      </c>
      <c r="AO13" s="876">
        <f>IF(ISNUMBER((NºAsuntos!C13+NºAsuntos!E13)/NºAsuntos!G13),(NºAsuntos!C13+NºAsuntos!E13)/NºAsuntos!G13," - ")</f>
        <v>3.2480348288789456</v>
      </c>
      <c r="AP13" s="877" t="str">
        <f t="shared" si="2"/>
        <v xml:space="preserve"> - </v>
      </c>
      <c r="AQ13" s="877">
        <f>IF(ISNUMBER((H13-W13+K13)/(F13)),(H13-W13+K13)/(F13)," - ")</f>
        <v>-0.6873239436619718</v>
      </c>
      <c r="AR13" s="878">
        <f>IF(ISNUMBER((Datos!P13-Datos!Q13)/(Datos!R13-Datos!P13+Datos!Q13)),(Datos!P13-Datos!Q13)/(Datos!R13-Datos!P13+Datos!Q13)," - ")</f>
        <v>4.0756526371870008E-2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14</v>
      </c>
      <c r="B15" s="275" t="s">
        <v>396</v>
      </c>
      <c r="C15" s="160" t="str">
        <f>Datos!A15</f>
        <v xml:space="preserve">Jdos. Instrucción                               </v>
      </c>
      <c r="D15" s="160"/>
      <c r="E15" s="1025">
        <f>IF(ISNUMBER(Datos!AQ15),Datos!AQ15," - ")</f>
        <v>14</v>
      </c>
      <c r="F15" s="225">
        <f>IF(ISNUMBER(AA15+W15-Datos!J15-K15),AA15+W15-Datos!J15-K15," - ")</f>
        <v>8000</v>
      </c>
      <c r="G15" s="333">
        <f>IF(ISNUMBER(IF(D_I="SI",Datos!I15,Datos!I15+Datos!AC15)),IF(D_I="SI",Datos!I15,Datos!I15+Datos!AC15)," - ")</f>
        <v>8050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685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20709</v>
      </c>
      <c r="X15" s="226">
        <f>IF(ISNUMBER(Datos!Q15),Datos!Q15," - ")</f>
        <v>664</v>
      </c>
      <c r="Y15" s="334">
        <f>SUM(W15)</f>
        <v>20709</v>
      </c>
      <c r="Z15" s="335" t="str">
        <f>IF(ISNUMBER(Datos!CC15),Datos!CC15," - ")</f>
        <v xml:space="preserve"> - </v>
      </c>
      <c r="AA15" s="332">
        <f>IF(ISNUMBER(IF(D_I="SI",Datos!L15,Datos!L15+Datos!AF15)),IF(D_I="SI",Datos!L15,Datos!L15+Datos!AF15)," - ")</f>
        <v>8227</v>
      </c>
      <c r="AB15" s="334">
        <f>IF(ISNUMBER(Datos!R15),Datos!R15," - ")</f>
        <v>1196</v>
      </c>
      <c r="AC15" s="334">
        <f t="shared" ref="AC15:AC17" si="6">IF(ISNUMBER(AA15+AB15),AA15+AB15," - ")</f>
        <v>9423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1647</v>
      </c>
      <c r="AJ15" s="231" t="str">
        <f>IF(ISNUMBER(Datos!BW15),Datos!BW15," - ")</f>
        <v xml:space="preserve"> - </v>
      </c>
      <c r="AK15" s="232" t="str">
        <f>IF(ISNUMBER(Datos!BX15),Datos!BX15," - ")</f>
        <v xml:space="preserve"> - </v>
      </c>
      <c r="AL15" s="243">
        <f>IF(ISNUMBER(NºAsuntos!G15/NºAsuntos!E15),NºAsuntos!G15/NºAsuntos!E15," - ")</f>
        <v>0.98915743217424534</v>
      </c>
      <c r="AM15" s="260">
        <f>IF(ISNUMBER(((NºAsuntos!I15/NºAsuntos!G15)*11)/factor_trimestre),((NºAsuntos!I15/NºAsuntos!G15)*11)/factor_trimestre," - ")</f>
        <v>1.1918006663769376</v>
      </c>
      <c r="AN15" s="244">
        <f>IF(ISNUMBER('Resol  Asuntos'!D15/NºAsuntos!G15),'Resol  Asuntos'!D15/NºAsuntos!G15," - ")</f>
        <v>7.9530638852672753E-2</v>
      </c>
      <c r="AO15" s="245">
        <f>IF(ISNUMBER((NºAsuntos!C15+NºAsuntos!E15)/NºAsuntos!G15),(NºAsuntos!C15+NºAsuntos!E15)/NºAsuntos!G15," - ")</f>
        <v>1.3996812979863826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3</v>
      </c>
      <c r="B17" s="275" t="s">
        <v>396</v>
      </c>
      <c r="C17" s="7" t="str">
        <f>Datos!A17</f>
        <v>Jdos. Violencia contra la mujer</v>
      </c>
      <c r="D17" s="7"/>
      <c r="E17" s="1025">
        <f>IF(ISNUMBER(Datos!AQ17),Datos!AQ17," - ")</f>
        <v>3</v>
      </c>
      <c r="F17" s="225" t="str">
        <f>IF(ISNUMBER(AA17+W17-H17-K17),AA17+W17-H17-K17," - ")</f>
        <v xml:space="preserve"> - </v>
      </c>
      <c r="G17" s="333">
        <f>IF(ISNUMBER(IF(D_I="SI",Datos!I17,Datos!I17+Datos!AC17)),IF(D_I="SI",Datos!I17,Datos!I17+Datos!AC17)," - ")</f>
        <v>867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1417</v>
      </c>
      <c r="X17" s="226">
        <f>IF(ISNUMBER(Datos!Q17),Datos!Q17," - ")</f>
        <v>7</v>
      </c>
      <c r="Y17" s="334">
        <f t="shared" si="7"/>
        <v>1424</v>
      </c>
      <c r="Z17" s="335" t="str">
        <f>IF(ISNUMBER(Datos!CC17),Datos!CC17," - ")</f>
        <v xml:space="preserve"> - </v>
      </c>
      <c r="AA17" s="332">
        <f>IF(ISNUMBER(Datos!L17),Datos!L17,"-")</f>
        <v>956</v>
      </c>
      <c r="AB17" s="334">
        <f>IF(ISNUMBER(Datos!R17),Datos!R17," - ")</f>
        <v>14</v>
      </c>
      <c r="AC17" s="334">
        <f t="shared" si="6"/>
        <v>970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76</v>
      </c>
      <c r="AJ17" s="231" t="str">
        <f>IF(ISNUMBER(Datos!BW17),Datos!BW17," - ")</f>
        <v xml:space="preserve"> - </v>
      </c>
      <c r="AK17" s="232" t="str">
        <f>IF(ISNUMBER(Datos!BX17),Datos!BX17," - ")</f>
        <v xml:space="preserve"> - </v>
      </c>
      <c r="AL17" s="243">
        <f>IF(ISNUMBER(NºAsuntos!G17/NºAsuntos!E17),NºAsuntos!G17/NºAsuntos!E17," - ")</f>
        <v>0.95420875420875417</v>
      </c>
      <c r="AM17" s="260">
        <f>IF(ISNUMBER(((NºAsuntos!I17/NºAsuntos!G17)*11)/factor_trimestre),((NºAsuntos!I17/NºAsuntos!G17)*11)/factor_trimestre," - ")</f>
        <v>2.023994354269584</v>
      </c>
      <c r="AN17" s="244">
        <f>IF(ISNUMBER('Resol  Asuntos'!D17/NºAsuntos!G17),'Resol  Asuntos'!D17/NºAsuntos!G17," - ")</f>
        <v>5.3634438955539876E-2</v>
      </c>
      <c r="AO17" s="245">
        <f>IF(ISNUMBER((NºAsuntos!C17+NºAsuntos!E17)/NºAsuntos!G17),(NºAsuntos!C17+NºAsuntos!E17)/NºAsuntos!G17," - ")</f>
        <v>1.6598447424135498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17</v>
      </c>
      <c r="F18" s="865">
        <f>SUBTOTAL(9,F14:F17)</f>
        <v>8000</v>
      </c>
      <c r="G18" s="866">
        <f>SUBTOTAL(9,G15:G17)</f>
        <v>8917</v>
      </c>
      <c r="H18" s="865">
        <f t="shared" ref="H18:O18" si="10">SUBTOTAL(9,H14:H17)</f>
        <v>0</v>
      </c>
      <c r="I18" s="867">
        <f t="shared" si="10"/>
        <v>0</v>
      </c>
      <c r="J18" s="867">
        <f t="shared" si="10"/>
        <v>0</v>
      </c>
      <c r="K18" s="867">
        <f t="shared" si="10"/>
        <v>0</v>
      </c>
      <c r="L18" s="867">
        <f t="shared" si="10"/>
        <v>691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22126</v>
      </c>
      <c r="X18" s="867">
        <f t="shared" si="11"/>
        <v>671</v>
      </c>
      <c r="Y18" s="868">
        <f t="shared" si="11"/>
        <v>22133</v>
      </c>
      <c r="Z18" s="868">
        <f t="shared" si="11"/>
        <v>0</v>
      </c>
      <c r="AA18" s="868">
        <f t="shared" si="11"/>
        <v>9183</v>
      </c>
      <c r="AB18" s="868">
        <f t="shared" si="11"/>
        <v>1210</v>
      </c>
      <c r="AC18" s="868">
        <f t="shared" si="11"/>
        <v>10393</v>
      </c>
      <c r="AD18" s="868">
        <f t="shared" si="11"/>
        <v>0</v>
      </c>
      <c r="AE18" s="872">
        <f t="shared" si="11"/>
        <v>0</v>
      </c>
      <c r="AF18" s="865">
        <f t="shared" si="11"/>
        <v>0</v>
      </c>
      <c r="AG18" s="873">
        <f t="shared" si="11"/>
        <v>0</v>
      </c>
      <c r="AH18" s="870">
        <f t="shared" si="11"/>
        <v>0</v>
      </c>
      <c r="AI18" s="865">
        <f t="shared" si="11"/>
        <v>1723</v>
      </c>
      <c r="AJ18" s="867">
        <f t="shared" si="11"/>
        <v>0</v>
      </c>
      <c r="AK18" s="870">
        <f t="shared" si="11"/>
        <v>0</v>
      </c>
      <c r="AL18" s="874">
        <f>IF(ISNUMBER(NºAsuntos!G18/NºAsuntos!E18),NºAsuntos!G18/NºAsuntos!E18," - ")</f>
        <v>0.98684269211899556</v>
      </c>
      <c r="AM18" s="874">
        <f>IF(ISNUMBER(((NºAsuntos!I18/NºAsuntos!G18)*11)/factor_trimestre),((NºAsuntos!I18/NºAsuntos!G18)*11)/factor_trimestre," - ")</f>
        <v>1.2450962668353973</v>
      </c>
      <c r="AN18" s="875">
        <f>IF(ISNUMBER('Resol  Asuntos'!D18/NºAsuntos!G18),'Resol  Asuntos'!D18/NºAsuntos!G18," - ")</f>
        <v>7.7872186567838744E-2</v>
      </c>
      <c r="AO18" s="876">
        <f>IF(ISNUMBER((NºAsuntos!C18+NºAsuntos!E18)/NºAsuntos!G18),(NºAsuntos!C18+NºAsuntos!E18)/NºAsuntos!G18," - ")</f>
        <v>1.4163427641688511</v>
      </c>
      <c r="AP18" s="877" t="str">
        <f t="shared" si="2"/>
        <v xml:space="preserve"> - </v>
      </c>
      <c r="AQ18" s="877">
        <f>IF(ISNUMBER((H18-W18+K18)/(F18)),(H18-W18+K18)/(F18)," - ")</f>
        <v>-2.7657500000000002</v>
      </c>
      <c r="AR18" s="878">
        <f>IF(ISNUMBER((Datos!P18-Datos!Q18)/(Datos!R18-Datos!P18+Datos!Q18)),(Datos!P18-Datos!Q18)/(Datos!R18-Datos!P18+Datos!Q18)," - ")</f>
        <v>1.680672268907563E-2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42</v>
      </c>
      <c r="F19" s="820">
        <f t="shared" si="13"/>
        <v>8355</v>
      </c>
      <c r="G19" s="821">
        <f t="shared" si="13"/>
        <v>9279</v>
      </c>
      <c r="H19" s="820">
        <f t="shared" si="13"/>
        <v>0</v>
      </c>
      <c r="I19" s="822">
        <f t="shared" si="13"/>
        <v>0</v>
      </c>
      <c r="J19" s="822">
        <f t="shared" si="13"/>
        <v>0</v>
      </c>
      <c r="K19" s="881">
        <f t="shared" si="13"/>
        <v>0</v>
      </c>
      <c r="L19" s="822">
        <f t="shared" si="13"/>
        <v>3666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22370</v>
      </c>
      <c r="X19" s="821">
        <f t="shared" si="14"/>
        <v>2575</v>
      </c>
      <c r="Y19" s="828">
        <f t="shared" si="14"/>
        <v>24281</v>
      </c>
      <c r="Z19" s="828">
        <f t="shared" si="14"/>
        <v>0</v>
      </c>
      <c r="AA19" s="828">
        <f t="shared" si="14"/>
        <v>9541</v>
      </c>
      <c r="AB19" s="828">
        <f t="shared" si="14"/>
        <v>28559</v>
      </c>
      <c r="AC19" s="828">
        <f t="shared" si="14"/>
        <v>11124</v>
      </c>
      <c r="AD19" s="828">
        <f t="shared" si="14"/>
        <v>0</v>
      </c>
      <c r="AE19" s="830">
        <f t="shared" si="14"/>
        <v>0</v>
      </c>
      <c r="AF19" s="831">
        <f t="shared" si="14"/>
        <v>0</v>
      </c>
      <c r="AG19" s="832">
        <f t="shared" si="14"/>
        <v>0</v>
      </c>
      <c r="AH19" s="830">
        <f t="shared" si="14"/>
        <v>0</v>
      </c>
      <c r="AI19" s="820">
        <f t="shared" si="14"/>
        <v>4820</v>
      </c>
      <c r="AJ19" s="820">
        <f t="shared" si="14"/>
        <v>0</v>
      </c>
      <c r="AK19" s="830">
        <f t="shared" si="14"/>
        <v>0</v>
      </c>
      <c r="AL19" s="884">
        <f>IF(ISNUMBER(NºAsuntos!G19/NºAsuntos!E19),NºAsuntos!G19/NºAsuntos!E19," - ")</f>
        <v>0.86977256878050979</v>
      </c>
      <c r="AM19" s="885">
        <f>IF(ISNUMBER(((NºAsuntos!I19/NºAsuntos!G19)*11)/factor_trimestre),((NºAsuntos!I19/NºAsuntos!G19)*11)/factor_trimestre," - ")</f>
        <v>3.6049037864680327</v>
      </c>
      <c r="AN19" s="885">
        <f>IF(ISNUMBER('Resol  Asuntos'!D19/NºAsuntos!G19),'Resol  Asuntos'!D19/NºAsuntos!G19," - ")</f>
        <v>0.12466376991516656</v>
      </c>
      <c r="AO19" s="886">
        <f>IF(ISNUMBER((NºAsuntos!C19+NºAsuntos!E19)/NºAsuntos!G19),(NºAsuntos!C19+NºAsuntos!E19)/NºAsuntos!G19," - ")</f>
        <v>2.1998241258017792</v>
      </c>
      <c r="AP19" s="887" t="str">
        <f t="shared" si="2"/>
        <v xml:space="preserve"> - </v>
      </c>
      <c r="AQ19" s="888">
        <f>IF(OR(ISNUMBER(FIND("01",Criterios!A8,1)),ISNUMBER(FIND("02",Criterios!A8,1)),ISNUMBER(FIND("03",Criterios!A8,1)),ISNUMBER(FIND("04",Criterios!A8,1))),(I19-W19+K19)/(F19-K19),(H19-W19+K19)/(F19-K19))</f>
        <v>-2.6774386594853383</v>
      </c>
      <c r="AR19" s="889">
        <f>IF(ISNUMBER((Datos!P19-Datos!Q19)/(Datos!R19-Datos!P19+Datos!Q19)),(Datos!P19-Datos!Q19)/(Datos!R19-Datos!P19+Datos!Q19)," - ")</f>
        <v>3.9718945682248437E-2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3711.6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9.2466210044534645</v>
      </c>
      <c r="F21" s="252">
        <f>IF(ISNUMBER(STDEV(F8:F18)),STDEV(F8:F18),"-")</f>
        <v>4413.8428079546884</v>
      </c>
      <c r="G21" s="253">
        <f>IF(ISNUMBER(STDEV(G8:G18)),STDEV(G8:G18),"-")</f>
        <v>4371.7643234739908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11404.122039859096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1162.8117400753843</v>
      </c>
      <c r="AJ21" s="252">
        <f t="shared" si="18"/>
        <v>0</v>
      </c>
      <c r="AK21" s="254">
        <f t="shared" si="18"/>
        <v>0</v>
      </c>
      <c r="AL21" s="249">
        <f t="shared" si="18"/>
        <v>0.11244237043898354</v>
      </c>
      <c r="AM21" s="250">
        <f t="shared" si="18"/>
        <v>2.4766420608232824</v>
      </c>
      <c r="AN21" s="250">
        <f t="shared" si="18"/>
        <v>0.12426937320318039</v>
      </c>
      <c r="AO21" s="251">
        <f t="shared" si="18"/>
        <v>0.82342652858986565</v>
      </c>
      <c r="AP21" s="291" t="str">
        <f t="shared" si="18"/>
        <v>-</v>
      </c>
      <c r="AQ21" s="292">
        <f t="shared" si="18"/>
        <v>1.469669158631433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TBt/sak3VHMV3FvQ/ZqYpa/ngpUlGe6s5qwrs2PkYvOvqQqBeD4ajNEqDLS5ZZzXG+kWpXNwZ2RHLXabWhVDg==" saltValue="UVmJikqpuHAFs0jN8SeAA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MALAGA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0.27117741076185403</v>
      </c>
      <c r="I9" s="350">
        <f>IF(ISNUMBER((Tasas!C9-Datos!BE9)/Datos!BE9),(Tasas!C9-Datos!BE9)/Datos!BE9," - ")</f>
        <v>-0.19470185457977601</v>
      </c>
      <c r="J9" s="349">
        <f>IF(ISNUMBER((Tasas!D9-Datos!BF9)/Datos!BF9),(Tasas!D9-Datos!BF9)/Datos!BF9," - ")</f>
        <v>-0.70647822656816639</v>
      </c>
      <c r="K9" s="351">
        <f>IF(ISNUMBER((Tasas!E9-Datos!BG9)/Datos!BG9),(Tasas!E9-Datos!BG9)/Datos!BG9," - ")</f>
        <v>-0.14087708753351272</v>
      </c>
      <c r="M9" t="e">
        <f>IF(Monitorios="SI",Datos!CE9,0)</f>
        <v>#REF!</v>
      </c>
      <c r="N9" t="e">
        <f>IF(Monitorios="SI",Datos!CF9,0)</f>
        <v>#REF!</v>
      </c>
      <c r="O9" t="e">
        <f>IF(Monitorios="SI",Datos!CG9,0)</f>
        <v>#REF!</v>
      </c>
      <c r="P9" t="e">
        <f>IF(Monitorios="SI",Datos!CH9,0)</f>
        <v>#REF!</v>
      </c>
      <c r="Q9">
        <f>IF(J_V="SI",0,Datos!AG9)</f>
        <v>600</v>
      </c>
      <c r="R9">
        <f>IF(J_V="SI",0,Datos!AH9)</f>
        <v>915</v>
      </c>
      <c r="S9">
        <f>IF(J_V="SI",0,Datos!AI9)</f>
        <v>1051</v>
      </c>
      <c r="T9">
        <f>IF(J_V="SI",0,Datos!AJ9)</f>
        <v>487</v>
      </c>
    </row>
    <row r="10" spans="2:20" ht="14.25">
      <c r="B10" s="275" t="s">
        <v>246</v>
      </c>
      <c r="C10" s="7" t="str">
        <f>Datos!A10</f>
        <v>Jdos. Violencia contra la mujer</v>
      </c>
      <c r="D10" s="352">
        <f>IF(ISNUMBER((Datos!I10-Datos!S10)/Datos!S10),(Datos!I10-Datos!S10)/Datos!S10," - ")</f>
        <v>4.9275362318840582E-2</v>
      </c>
      <c r="E10" s="348">
        <f>IF(ISNUMBER((Datos!J10-Datos!T10)/Datos!T10),(Datos!J10-Datos!T10)/Datos!T10," - ")</f>
        <v>0.96031746031746035</v>
      </c>
      <c r="F10" s="348">
        <f>IF(ISNUMBER((Datos!K10-Datos!U10)/Datos!U10),(Datos!K10-Datos!U10)/Datos!U10," - ")</f>
        <v>0.52500000000000002</v>
      </c>
      <c r="G10" s="349">
        <f>IF(ISNUMBER((Datos!L10-Datos!V10)/Datos!V10),(Datos!L10-Datos!V10)/Datos!V10," - ")</f>
        <v>0.15112540192926044</v>
      </c>
      <c r="H10" s="230">
        <f>IF(ISNUMBER((Datos!M10-Datos!W10)/Datos!W10),(Datos!M10-Datos!W10)/Datos!W10," - ")</f>
        <v>0.21052631578947367</v>
      </c>
      <c r="I10" s="350">
        <f>IF(ISNUMBER((Tasas!C10-Datos!BE10)/Datos!BE10),(Tasas!C10-Datos!BE10)/Datos!BE10," - ")</f>
        <v>-0.24516367086605878</v>
      </c>
      <c r="J10" s="349">
        <f>IF(ISNUMBER((Tasas!D10-Datos!BF10)/Datos!BF10),(Tasas!D10-Datos!BF10)/Datos!BF10," - ")</f>
        <v>-0.20621225194132881</v>
      </c>
      <c r="K10" s="351">
        <f>IF(ISNUMBER((Tasas!E10-Datos!BG10)/Datos!BG10),(Tasas!E10-Datos!BG10)/Datos!BG10," - ")</f>
        <v>-0.15213532421426335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0.68062827225130895</v>
      </c>
      <c r="I11" s="350">
        <f>IF(ISNUMBER((Tasas!C11-Datos!BE11)/Datos!BE11),(Tasas!C11-Datos!BE11)/Datos!BE11," - ")</f>
        <v>-0.38013997942248179</v>
      </c>
      <c r="J11" s="349">
        <f>IF(ISNUMBER((Tasas!D11-Datos!BF11)/Datos!BF11),(Tasas!D11-Datos!BF11)/Datos!BF11," - ")</f>
        <v>0.34708865186221366</v>
      </c>
      <c r="K11" s="351">
        <f>IF(ISNUMBER((Tasas!E11-Datos!BG11)/Datos!BG11),(Tasas!E11-Datos!BG11)/Datos!BG11," - ")</f>
        <v>-0.29252356199182233</v>
      </c>
      <c r="M11" t="e">
        <f>IF(Monitorios="SI",Datos!CE11,0)</f>
        <v>#REF!</v>
      </c>
      <c r="N11" t="e">
        <f>IF(Monitorios="SI",Datos!CF11,0)</f>
        <v>#REF!</v>
      </c>
      <c r="O11" t="e">
        <f>IF(Monitorios="SI",Datos!CG11,0)</f>
        <v>#REF!</v>
      </c>
      <c r="P11" t="e">
        <f>IF(Monitorios="SI",Datos!CH11,0)</f>
        <v>#REF!</v>
      </c>
      <c r="Q11">
        <f>IF(J_V="SI",0,Datos!AG11)</f>
        <v>125</v>
      </c>
      <c r="R11">
        <f>IF(J_V="SI",0,Datos!AH11)</f>
        <v>109</v>
      </c>
      <c r="S11">
        <f>IF(J_V="SI",0,Datos!AI11)</f>
        <v>74</v>
      </c>
      <c r="T11">
        <f>IF(J_V="SI",0,Datos!AJ11)</f>
        <v>160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0.33721934369602763</v>
      </c>
      <c r="I13" s="357">
        <f>IF(ISNUMBER((Tasas!C13-Datos!BE13)/Datos!BE13),(Tasas!C13-Datos!BE13)/Datos!BE13," - ")</f>
        <v>-0.21185993221598187</v>
      </c>
      <c r="J13" s="355">
        <f>IF(ISNUMBER((Tasas!D13-Datos!BF13)/Datos!BF13),(Tasas!D13-Datos!BF13)/Datos!BF13," - ")</f>
        <v>-0.64464269676609309</v>
      </c>
      <c r="K13" s="358">
        <f>IF(ISNUMBER((Tasas!E13-Datos!BG13)/Datos!BG13),(Tasas!E13-Datos!BG13)/Datos!BG13," - ")</f>
        <v>-0.15508861156845691</v>
      </c>
      <c r="M13" t="e">
        <f>IF(Monitorios="SI",Datos!CE13,0)</f>
        <v>#REF!</v>
      </c>
      <c r="N13" t="e">
        <f>IF(Monitorios="SI",Datos!CF13,0)</f>
        <v>#REF!</v>
      </c>
      <c r="O13" t="e">
        <f>IF(Monitorios="SI",Datos!CG13,0)</f>
        <v>#REF!</v>
      </c>
      <c r="P13" t="e">
        <f>IF(Monitorios="SI",Datos!CH13,0)</f>
        <v>#REF!</v>
      </c>
      <c r="Q13">
        <f>IF(J_V="SI",0,Datos!AG13)</f>
        <v>725</v>
      </c>
      <c r="R13">
        <f>IF(J_V="SI",0,Datos!AH13)</f>
        <v>1024</v>
      </c>
      <c r="S13">
        <f>IF(J_V="SI",0,Datos!AI13)</f>
        <v>1125</v>
      </c>
      <c r="T13">
        <f>IF(J_V="SI",0,Datos!AJ13)</f>
        <v>647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0.38221153846153844</v>
      </c>
      <c r="E15" s="348">
        <f>IF(ISNUMBER(
   IF(D_I="SI",(Datos!J15-Datos!T15)/Datos!T15,(Datos!J15+Datos!AD15-(Datos!T15+Datos!AL15))/(Datos!T15+Datos!AL15))
     ),IF(D_I="SI",(Datos!J15-Datos!T15)/Datos!T15,(Datos!J15+Datos!AD15-(Datos!T15+Datos!AL15))/(Datos!T15+Datos!AL15))," - ")</f>
        <v>4.1384799044966177E-2</v>
      </c>
      <c r="F15" s="348">
        <f>IF(ISNUMBER(
   IF(D_I="SI",(Datos!K15-Datos!U15)/Datos!U15,(Datos!K15+Datos!AE15-(Datos!U15+Datos!AM15))/(Datos!U15+Datos!AM15))
     ),IF(D_I="SI",(Datos!K15-Datos!U15)/Datos!U15,(Datos!K15+Datos!AE15-(Datos!U15+Datos!AM15))/(Datos!U15+Datos!AM15))," - ")</f>
        <v>5.5289441500203831E-2</v>
      </c>
      <c r="G15" s="349">
        <f>IF(ISNUMBER(
   IF(D_I="SI",(Datos!L15-Datos!V15)/Datos!V15,(Datos!L15+Datos!AF15-(Datos!V15+Datos!AN15))/(Datos!V15+Datos!AN15))
     ),IF(D_I="SI",(Datos!L15-Datos!V15)/Datos!V15,(Datos!L15+Datos!AF15-(Datos!V15+Datos!AN15))/(Datos!V15+Datos!AN15))," - ")</f>
        <v>0.28909432779692884</v>
      </c>
      <c r="H15" s="230">
        <f>IF(ISNUMBER((Datos!M15-Datos!W15)/Datos!W15),(Datos!M15-Datos!W15)/Datos!W15," - ")</f>
        <v>0.21729490022172948</v>
      </c>
      <c r="I15" s="350">
        <f>IF(ISNUMBER((Tasas!C15-Datos!BE15)/Datos!BE15),(Tasas!C15-Datos!BE15)/Datos!BE15," - ")</f>
        <v>0.22155522182079937</v>
      </c>
      <c r="J15" s="349">
        <f>IF(ISNUMBER((Tasas!D15-Datos!BF15)/Datos!BF15),(Tasas!D15-Datos!BF15)/Datos!BF15," - ")</f>
        <v>0.15351755864364375</v>
      </c>
      <c r="K15" s="351">
        <f>IF(ISNUMBER((Tasas!E15-Datos!BG15)/Datos!BG15),(Tasas!E15-Datos!BG15)/Datos!BG15," - ")</f>
        <v>5.9370016649366447E-2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0.35680751173708919</v>
      </c>
      <c r="E17" s="348">
        <f>IF(ISNUMBER(
   IF(D_I="SI",(Datos!J17-Datos!T17)/Datos!T17,(Datos!J17+Datos!AD17-(Datos!T17+Datos!AL17))/(Datos!T17+Datos!AL17))
     ),IF(D_I="SI",(Datos!J17-Datos!T17)/Datos!T17,(Datos!J17+Datos!AD17-(Datos!T17+Datos!AL17))/(Datos!T17+Datos!AL17))," - ")</f>
        <v>-0.22736732570239335</v>
      </c>
      <c r="F17" s="348">
        <f>IF(ISNUMBER(
   IF(D_I="SI",(Datos!K17-Datos!U17)/Datos!U17,(Datos!K17+Datos!AE17-(Datos!U17+Datos!AM17))/(Datos!U17+Datos!AM17))
     ),IF(D_I="SI",(Datos!K17-Datos!U17)/Datos!U17,(Datos!K17+Datos!AE17-(Datos!U17+Datos!AM17))/(Datos!U17+Datos!AM17))," - ")</f>
        <v>-0.18328530259365994</v>
      </c>
      <c r="G17" s="349">
        <f>IF(ISNUMBER(
   IF(D_I="SI",(Datos!L17-Datos!V17)/Datos!V17,(Datos!L17+Datos!AF17-(Datos!V17+Datos!AN17))/(Datos!V17+Datos!AN17))
     ),IF(D_I="SI",(Datos!L17-Datos!V17)/Datos!V17,(Datos!L17+Datos!AF17-(Datos!V17+Datos!AN17))/(Datos!V17+Datos!AN17))," - ")</f>
        <v>0.15180722891566265</v>
      </c>
      <c r="H17" s="230">
        <f>IF(ISNUMBER((Datos!M17-Datos!W17)/Datos!W17),(Datos!M17-Datos!W17)/Datos!W17," - ")</f>
        <v>4.1095890410958902E-2</v>
      </c>
      <c r="I17" s="350">
        <f>IF(ISNUMBER((Tasas!C17-Datos!BE17)/Datos!BE17),(Tasas!C17-Datos!BE17)/Datos!BE17," - ")</f>
        <v>0.41029325488262158</v>
      </c>
      <c r="J17" s="349">
        <f>IF(ISNUMBER((Tasas!D17-Datos!BF17)/Datos!BF17),(Tasas!D17-Datos!BF17)/Datos!BF17," - ")</f>
        <v>0.27473632312139284</v>
      </c>
      <c r="K17" s="351">
        <f>IF(ISNUMBER((Tasas!E17-Datos!BG17)/Datos!BG17),(Tasas!E17-Datos!BG17)/Datos!BG17," - ")</f>
        <v>0.12449458340004262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0.37969982980040229</v>
      </c>
      <c r="E18" s="354">
        <f>IF(ISNUMBER(
   IF(D_I="SI",(Datos!J18-Datos!T18)/Datos!T18,(Datos!J18+Datos!AD18-(Datos!T18+Datos!AL18))/(Datos!T18+Datos!AL18))
     ),IF(D_I="SI",(Datos!J18-Datos!T18)/Datos!T18,(Datos!J18+Datos!AD18-(Datos!T18+Datos!AL18))/(Datos!T18+Datos!AL18))," - ")</f>
        <v>1.7933351493689277E-2</v>
      </c>
      <c r="F18" s="354">
        <f>IF(ISNUMBER(
   IF(D_I="SI",(Datos!K18-Datos!U18)/Datos!U18,(Datos!K18+Datos!AE18-(Datos!U18+Datos!AM18))/(Datos!U18+Datos!AM18))
     ),IF(D_I="SI",(Datos!K18-Datos!U18)/Datos!U18,(Datos!K18+Datos!AE18-(Datos!U18+Datos!AM18))/(Datos!U18+Datos!AM18))," - ")</f>
        <v>3.5909920876445525E-2</v>
      </c>
      <c r="G18" s="355">
        <f>IF(ISNUMBER(
   IF(D_I="SI",(Datos!L18-Datos!V18)/Datos!V18,(Datos!L18+Datos!AF18-(Datos!V18+Datos!AN18))/(Datos!V18+Datos!AN18))
     ),IF(D_I="SI",(Datos!L18-Datos!V18)/Datos!V18,(Datos!L18+Datos!AF18-(Datos!V18+Datos!AN18))/(Datos!V18+Datos!AN18))," - ")</f>
        <v>0.27329450915141429</v>
      </c>
      <c r="H18" s="356">
        <f>IF(ISNUMBER((Datos!M18-Datos!W18)/Datos!W18),(Datos!M18-Datos!W18)/Datos!W18," - ")</f>
        <v>0.20827489481065919</v>
      </c>
      <c r="I18" s="357">
        <f>IF(ISNUMBER((Tasas!C18-Datos!BE18)/Datos!BE18),(Tasas!C18-Datos!BE18)/Datos!BE18," - ")</f>
        <v>0.22915562781185303</v>
      </c>
      <c r="J18" s="355">
        <f>IF(ISNUMBER((Tasas!D18-Datos!BF18)/Datos!BF18),(Tasas!D18-Datos!BF18)/Datos!BF18," - ")</f>
        <v>0.16638992489654125</v>
      </c>
      <c r="K18" s="358">
        <f>IF(ISNUMBER((Tasas!E18-Datos!BG18)/Datos!BG18),(Tasas!E18-Datos!BG18)/Datos!BG18," - ")</f>
        <v>6.1871778577081989E-2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0.15560425798371946</v>
      </c>
      <c r="E19" s="363">
        <f>IF(ISNUMBER(
   IF(J_V="SI",(Datos!J19-Datos!T19)/Datos!T19,(Datos!J19+Datos!Z19-(Datos!T19+Datos!AH19))/(Datos!T19+Datos!AH19))
     ),IF(J_V="SI",(Datos!J19-Datos!T19)/Datos!T19,(Datos!J19+Datos!Z19-(Datos!T19+Datos!AH19))/(Datos!T19+Datos!AH19))," - ")</f>
        <v>0.3454705045552226</v>
      </c>
      <c r="F19" s="363">
        <f>IF(ISNUMBER(
   IF(J_V="SI",(Datos!K19-Datos!U19)/Datos!U19,(Datos!K19+Datos!AA19-(Datos!U19+Datos!AI19))/(Datos!U19+Datos!AI19))
     ),IF(J_V="SI",(Datos!K19-Datos!U19)/Datos!U19,(Datos!K19+Datos!AA19-(Datos!U19+Datos!AI19))/(Datos!U19+Datos!AI19))," - ")</f>
        <v>0.22037750142036489</v>
      </c>
      <c r="G19" s="364">
        <f>IF(ISNUMBER(
   IF(J_V="SI",(Datos!L19-Datos!V19)/Datos!V19,(Datos!L19+Datos!AB19-(Datos!V19+Datos!AJ19))/(Datos!V19+Datos!AJ19))
     ),IF(J_V="SI",(Datos!L19-Datos!V19)/Datos!V19,(Datos!L19+Datos!AB19-(Datos!V19+Datos!AJ19))/(Datos!V19+Datos!AJ19))," - ")</f>
        <v>0.26473390499523614</v>
      </c>
      <c r="H19" s="365">
        <f>IF(ISNUMBER((Datos!M19-Datos!W19)/Datos!W19),(Datos!M19-Datos!W19)/Datos!W19," - ")</f>
        <v>0.28808123997862106</v>
      </c>
      <c r="I19" s="362">
        <f>IF(ISNUMBER((Tasas!C19-Datos!BE19)/Datos!BE19),(Tasas!C19-Datos!BE19)/Datos!BE19," - ")</f>
        <v>3.6346461257476641E-2</v>
      </c>
      <c r="J19" s="363">
        <f>IF(ISNUMBER((Tasas!D19-Datos!BF19)/Datos!BF19),(Tasas!D19-Datos!BF19)/Datos!BF19," - ")</f>
        <v>-0.4247600410060724</v>
      </c>
      <c r="K19" s="364">
        <f>IF(ISNUMBER((Tasas!E19-Datos!BG19)/Datos!BG19),(Tasas!E19-Datos!BG19)/Datos!BG19," - ")</f>
        <v>2.2323030432164714E-2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0.16221862318625493</v>
      </c>
      <c r="E21" s="278">
        <f t="shared" si="1"/>
        <v>0.52249962461240695</v>
      </c>
      <c r="F21" s="278">
        <f t="shared" si="1"/>
        <v>0.29816734737177325</v>
      </c>
      <c r="G21" s="279">
        <f t="shared" si="1"/>
        <v>7.51763045558691E-2</v>
      </c>
      <c r="H21" s="285">
        <f t="shared" si="1"/>
        <v>0.19783308153428386</v>
      </c>
      <c r="I21" s="277">
        <f t="shared" si="1"/>
        <v>0.30363742962963325</v>
      </c>
      <c r="J21" s="278">
        <f t="shared" si="1"/>
        <v>0.43784800681831565</v>
      </c>
      <c r="K21" s="279">
        <f t="shared" si="1"/>
        <v>0.15301311334700746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OeIHi5fWWyXmaq/yABwkbuL9PIS0xVlqf2vtAiD1uiidIBx7r3MOzQctO9DJ7v7krzzyK+TbStqUpdxApqZHg==" saltValue="hOL8n2a3yLg9VuqrtmlHB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